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68" i="12"/>
  <c r="D64" i="12"/>
  <c r="D48" i="12"/>
  <c r="D42" i="12"/>
  <c r="D38" i="12"/>
  <c r="D22" i="12"/>
  <c r="GG98" i="11"/>
  <c r="GG96" i="11"/>
  <c r="GG94" i="11"/>
  <c r="GG92" i="11"/>
  <c r="GG90" i="11"/>
  <c r="GG88" i="11"/>
  <c r="GG86" i="11"/>
  <c r="GG84" i="11"/>
  <c r="GG82" i="11"/>
  <c r="GG80" i="11"/>
  <c r="GG78" i="11"/>
  <c r="GE98" i="11"/>
  <c r="GE96" i="11"/>
  <c r="GE94" i="11"/>
  <c r="GE92" i="11"/>
  <c r="GE90" i="11"/>
  <c r="GE88" i="11"/>
  <c r="GE86" i="11"/>
  <c r="GE84" i="11"/>
  <c r="GE82" i="11"/>
  <c r="GE80" i="11"/>
  <c r="GE78" i="11"/>
  <c r="GE72" i="11"/>
  <c r="GE70" i="11"/>
  <c r="GE64" i="11"/>
  <c r="GE50"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D70" i="12" s="1"/>
  <c r="F68" i="12"/>
  <c r="F66" i="12"/>
  <c r="F64" i="12"/>
  <c r="F62" i="12"/>
  <c r="D62" i="12" s="1"/>
  <c r="F60" i="12"/>
  <c r="D60" i="12" s="1"/>
  <c r="F58" i="12"/>
  <c r="F56" i="12"/>
  <c r="D56" i="12" s="1"/>
  <c r="F54" i="12"/>
  <c r="D54" i="12" s="1"/>
  <c r="F52" i="12"/>
  <c r="D52" i="12" s="1"/>
  <c r="F50" i="12"/>
  <c r="F48" i="12"/>
  <c r="AA48" i="12" s="1"/>
  <c r="AB48" i="12" s="1"/>
  <c r="F46" i="12"/>
  <c r="AA46" i="12" s="1"/>
  <c r="AB46" i="12" s="1"/>
  <c r="F44" i="12"/>
  <c r="D44" i="12" s="1"/>
  <c r="F42" i="12"/>
  <c r="F40" i="12"/>
  <c r="AA40" i="12" s="1"/>
  <c r="AB40" i="12" s="1"/>
  <c r="F38" i="12"/>
  <c r="F36" i="12"/>
  <c r="D36" i="12" s="1"/>
  <c r="F34" i="12"/>
  <c r="D34" i="12" s="1"/>
  <c r="F32" i="12"/>
  <c r="F30" i="12"/>
  <c r="D30" i="12" s="1"/>
  <c r="F28" i="12"/>
  <c r="D28" i="12" s="1"/>
  <c r="F26" i="12"/>
  <c r="D26" i="12" s="1"/>
  <c r="F24" i="12"/>
  <c r="D24" i="12" s="1"/>
  <c r="F22" i="12"/>
  <c r="F20" i="12"/>
  <c r="D20" i="12" s="1"/>
  <c r="F18" i="12"/>
  <c r="D18" i="12" s="1"/>
  <c r="F16" i="12"/>
  <c r="D16" i="12" s="1"/>
  <c r="F14" i="12"/>
  <c r="D14" i="12" s="1"/>
  <c r="F12" i="12"/>
  <c r="D12" i="12" s="1"/>
  <c r="B34" i="12"/>
  <c r="H32" i="12"/>
  <c r="H34" i="12"/>
  <c r="H36" i="12"/>
  <c r="AA36" i="12"/>
  <c r="AB36" i="12" s="1"/>
  <c r="H38" i="12"/>
  <c r="AA38" i="12"/>
  <c r="AB38" i="12" s="1"/>
  <c r="H40" i="12"/>
  <c r="H42" i="12"/>
  <c r="AA42" i="12"/>
  <c r="AB42" i="12" s="1"/>
  <c r="H44" i="12"/>
  <c r="H46" i="12"/>
  <c r="H48" i="12"/>
  <c r="H50" i="12"/>
  <c r="H52" i="12"/>
  <c r="H54" i="12"/>
  <c r="H56" i="12"/>
  <c r="H58" i="12"/>
  <c r="H60" i="12"/>
  <c r="H62" i="12"/>
  <c r="H64" i="12"/>
  <c r="H66" i="12"/>
  <c r="H68" i="12"/>
  <c r="H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P76" i="11"/>
  <c r="GO76" i="11"/>
  <c r="GN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LE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P74" i="11"/>
  <c r="GO74" i="11"/>
  <c r="GN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CB74" i="11"/>
  <c r="LY74" i="11" s="1"/>
  <c r="CA74" i="11"/>
  <c r="BZ74" i="11"/>
  <c r="BW74" i="11"/>
  <c r="BQ74" i="11"/>
  <c r="BR74" i="11" s="1"/>
  <c r="BU74" i="11" s="1"/>
  <c r="BI74" i="11"/>
  <c r="BJ74" i="11" s="1"/>
  <c r="AW74" i="11"/>
  <c r="AX74" i="11" s="1"/>
  <c r="AR74" i="11"/>
  <c r="AS74" i="11" s="1"/>
  <c r="AO74" i="11"/>
  <c r="AC74" i="11"/>
  <c r="Z74" i="11"/>
  <c r="GE74" i="11" s="1"/>
  <c r="M74" i="11"/>
  <c r="BN74" i="11" s="1"/>
  <c r="BO74" i="11" s="1"/>
  <c r="L74" i="11"/>
  <c r="K74" i="11"/>
  <c r="NF74" i="11" s="1"/>
  <c r="NG74" i="11" s="1"/>
  <c r="J74" i="11"/>
  <c r="I74" i="11"/>
  <c r="AJ74" i="11" s="1"/>
  <c r="H74" i="11"/>
  <c r="BA74" i="11" s="1"/>
  <c r="LE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T72" i="11"/>
  <c r="KU72" i="11" s="1"/>
  <c r="KP72" i="11"/>
  <c r="KQ72" i="11" s="1"/>
  <c r="KK72" i="11"/>
  <c r="KJ72" i="11"/>
  <c r="KI72" i="11"/>
  <c r="KH72" i="11"/>
  <c r="KG72" i="11"/>
  <c r="KF72" i="11"/>
  <c r="KE72" i="11"/>
  <c r="JZ72" i="11"/>
  <c r="JY72" i="11"/>
  <c r="JO72" i="11"/>
  <c r="JP72" i="11" s="1"/>
  <c r="JD72" i="11"/>
  <c r="IW72" i="11"/>
  <c r="IV72" i="11"/>
  <c r="IO72" i="11"/>
  <c r="IP72" i="11" s="1"/>
  <c r="IE72" i="11"/>
  <c r="IB72" i="11"/>
  <c r="HZ72" i="11"/>
  <c r="HX72" i="11"/>
  <c r="HU72" i="11"/>
  <c r="HV72" i="11" s="1"/>
  <c r="HR72" i="11"/>
  <c r="HS72" i="11" s="1"/>
  <c r="IH72" i="11" s="1"/>
  <c r="HN72" i="11"/>
  <c r="HM72" i="11"/>
  <c r="HK72" i="11"/>
  <c r="HJ72" i="11"/>
  <c r="HF72" i="11"/>
  <c r="HG72" i="11" s="1"/>
  <c r="HC72" i="11"/>
  <c r="HD72" i="11" s="1"/>
  <c r="GZ72" i="11"/>
  <c r="GQ72" i="11"/>
  <c r="GK72" i="11"/>
  <c r="GP72" i="11" s="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P70" i="11"/>
  <c r="GO70" i="11"/>
  <c r="GN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CB70" i="11"/>
  <c r="LY70" i="11" s="1"/>
  <c r="CA70" i="11"/>
  <c r="BZ70" i="11"/>
  <c r="BW70" i="11"/>
  <c r="BQ70" i="11"/>
  <c r="BR70" i="11" s="1"/>
  <c r="BU70" i="11" s="1"/>
  <c r="BI70" i="11"/>
  <c r="BJ70" i="11" s="1"/>
  <c r="AW70" i="11"/>
  <c r="AX70" i="11" s="1"/>
  <c r="AR70" i="11"/>
  <c r="AS70" i="11" s="1"/>
  <c r="AO70" i="11"/>
  <c r="AC70" i="11"/>
  <c r="Z70" i="11"/>
  <c r="M70" i="11"/>
  <c r="BN70" i="11" s="1"/>
  <c r="DW70" i="13" s="1"/>
  <c r="L70" i="11"/>
  <c r="K70" i="11"/>
  <c r="NF70" i="11" s="1"/>
  <c r="NG70" i="11" s="1"/>
  <c r="J70" i="11"/>
  <c r="I70" i="11"/>
  <c r="AJ70" i="11" s="1"/>
  <c r="H70" i="11"/>
  <c r="BA70" i="11" s="1"/>
  <c r="LE70" i="11" s="1"/>
  <c r="G70" i="11"/>
  <c r="AB70" i="11" s="1"/>
  <c r="F70" i="11"/>
  <c r="E70" i="11"/>
  <c r="AI70" i="11" s="1"/>
  <c r="D70" i="11"/>
  <c r="AH70" i="11" s="1"/>
  <c r="A70" i="11"/>
  <c r="B64" i="12" s="1"/>
  <c r="RW68" i="11"/>
  <c r="RK68" i="11"/>
  <c r="RH68" i="11"/>
  <c r="QX68" i="11"/>
  <c r="QW68" i="11"/>
  <c r="QV68" i="11"/>
  <c r="QU68" i="11"/>
  <c r="QT68" i="11"/>
  <c r="QS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P68" i="11"/>
  <c r="GO68" i="11"/>
  <c r="GN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CB68" i="11"/>
  <c r="LY68" i="11" s="1"/>
  <c r="CA68" i="11"/>
  <c r="BZ68" i="11"/>
  <c r="BW68" i="11"/>
  <c r="BQ68" i="11"/>
  <c r="BR68" i="11" s="1"/>
  <c r="MV68" i="11" s="1"/>
  <c r="MW68" i="11" s="1"/>
  <c r="BI68" i="11"/>
  <c r="BJ68" i="11" s="1"/>
  <c r="AW68" i="11"/>
  <c r="AX68" i="11" s="1"/>
  <c r="AR68" i="11"/>
  <c r="AS68" i="11" s="1"/>
  <c r="AO68" i="11"/>
  <c r="CL68" i="13" s="1"/>
  <c r="AC68" i="11"/>
  <c r="Z68" i="11"/>
  <c r="L62" i="12" s="1"/>
  <c r="M62" i="12" s="1"/>
  <c r="M68" i="11"/>
  <c r="BN68" i="11" s="1"/>
  <c r="L68" i="11"/>
  <c r="K68" i="11"/>
  <c r="NB68" i="11" s="1"/>
  <c r="NC68" i="11" s="1"/>
  <c r="J68" i="11"/>
  <c r="I68" i="11"/>
  <c r="AJ68" i="11" s="1"/>
  <c r="H68" i="11"/>
  <c r="BA68" i="11" s="1"/>
  <c r="LE68" i="11" s="1"/>
  <c r="G68" i="11"/>
  <c r="AB68" i="11" s="1"/>
  <c r="F68" i="11"/>
  <c r="E68" i="11"/>
  <c r="AI68" i="11" s="1"/>
  <c r="D68" i="11"/>
  <c r="AH68" i="11" s="1"/>
  <c r="A68" i="11"/>
  <c r="B62" i="12" s="1"/>
  <c r="RW66" i="11"/>
  <c r="RK66" i="11"/>
  <c r="RH66" i="11"/>
  <c r="QX66" i="11"/>
  <c r="QW66" i="11"/>
  <c r="QV66" i="11"/>
  <c r="QU66" i="11"/>
  <c r="QT66" i="11"/>
  <c r="QS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KZ66" i="11"/>
  <c r="IM66" i="13" s="1"/>
  <c r="KY66" i="11"/>
  <c r="KX66" i="11"/>
  <c r="KT66" i="11"/>
  <c r="KU66" i="11" s="1"/>
  <c r="KP66" i="11"/>
  <c r="KQ66" i="11" s="1"/>
  <c r="KK66" i="11"/>
  <c r="KJ66" i="11"/>
  <c r="KI66" i="11"/>
  <c r="KH66" i="11"/>
  <c r="KG66" i="11"/>
  <c r="KF66" i="11"/>
  <c r="KE66" i="11"/>
  <c r="JZ66" i="11"/>
  <c r="JY66" i="11"/>
  <c r="HI66" i="13" s="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P66" i="11"/>
  <c r="GO66" i="11"/>
  <c r="GN66" i="11"/>
  <c r="GK66" i="11"/>
  <c r="FL66" i="11"/>
  <c r="FJ66" i="11"/>
  <c r="FB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CB66" i="11"/>
  <c r="LY66" i="11" s="1"/>
  <c r="CA66" i="11"/>
  <c r="BZ66" i="11"/>
  <c r="BW66" i="11"/>
  <c r="BQ66" i="11"/>
  <c r="BR66" i="11" s="1"/>
  <c r="BU66" i="11" s="1"/>
  <c r="BI66" i="11"/>
  <c r="BJ66" i="11" s="1"/>
  <c r="AW66" i="11"/>
  <c r="AX66" i="11" s="1"/>
  <c r="AR66" i="11"/>
  <c r="AS66" i="11" s="1"/>
  <c r="AO66" i="11"/>
  <c r="CL66" i="13" s="1"/>
  <c r="AC66" i="11"/>
  <c r="Z66" i="11"/>
  <c r="L60" i="12" s="1"/>
  <c r="M60" i="12" s="1"/>
  <c r="M66" i="11"/>
  <c r="BN66" i="11" s="1"/>
  <c r="L66" i="11"/>
  <c r="K66" i="11"/>
  <c r="NF66" i="11" s="1"/>
  <c r="NG66" i="11" s="1"/>
  <c r="J66" i="11"/>
  <c r="I66" i="11"/>
  <c r="AJ66" i="11" s="1"/>
  <c r="H66" i="11"/>
  <c r="BA66" i="11" s="1"/>
  <c r="LE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P64" i="11"/>
  <c r="GO64" i="11"/>
  <c r="GN64" i="11"/>
  <c r="GK64" i="11"/>
  <c r="FL64" i="11"/>
  <c r="FJ64" i="11"/>
  <c r="FB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CB64" i="11"/>
  <c r="LY64" i="11" s="1"/>
  <c r="CA64" i="11"/>
  <c r="BZ64" i="11"/>
  <c r="BW64" i="11"/>
  <c r="BQ64" i="11"/>
  <c r="BR64" i="11" s="1"/>
  <c r="MV64" i="11" s="1"/>
  <c r="MW64" i="11" s="1"/>
  <c r="BI64" i="11"/>
  <c r="BJ64" i="11" s="1"/>
  <c r="AW64" i="11"/>
  <c r="AX64" i="11" s="1"/>
  <c r="AR64" i="11"/>
  <c r="AS64" i="11" s="1"/>
  <c r="AO64" i="11"/>
  <c r="CL64" i="13" s="1"/>
  <c r="AC64" i="11"/>
  <c r="Z64" i="11"/>
  <c r="L58" i="12" s="1"/>
  <c r="M58" i="12" s="1"/>
  <c r="M64" i="11"/>
  <c r="BN64" i="11" s="1"/>
  <c r="L64" i="11"/>
  <c r="K64" i="11"/>
  <c r="NB64" i="11" s="1"/>
  <c r="NC64" i="11" s="1"/>
  <c r="J64" i="11"/>
  <c r="I64" i="11"/>
  <c r="AJ64" i="11" s="1"/>
  <c r="H64" i="11"/>
  <c r="BA64" i="11" s="1"/>
  <c r="LE64" i="11" s="1"/>
  <c r="G64" i="11"/>
  <c r="AB64" i="11" s="1"/>
  <c r="F64" i="11"/>
  <c r="E64" i="11"/>
  <c r="AI64" i="11" s="1"/>
  <c r="D64" i="11"/>
  <c r="AH64" i="11" s="1"/>
  <c r="A64" i="11"/>
  <c r="B58" i="12" s="1"/>
  <c r="RW62" i="11"/>
  <c r="RK62" i="11"/>
  <c r="RH62" i="11"/>
  <c r="QX62" i="11"/>
  <c r="QW62" i="11"/>
  <c r="QV62" i="11"/>
  <c r="QT62" i="11"/>
  <c r="QS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KZ62" i="11"/>
  <c r="LA62" i="11" s="1"/>
  <c r="KX62" i="11"/>
  <c r="KY62" i="11" s="1"/>
  <c r="KT62" i="11"/>
  <c r="KU62" i="11" s="1"/>
  <c r="KP62" i="11"/>
  <c r="KQ62" i="11" s="1"/>
  <c r="KK62" i="11"/>
  <c r="KJ62" i="11"/>
  <c r="KI62" i="11"/>
  <c r="KH62" i="11"/>
  <c r="KG62" i="11"/>
  <c r="KF62" i="11"/>
  <c r="KE62" i="11"/>
  <c r="JZ62" i="11"/>
  <c r="JY62" i="11"/>
  <c r="HI62" i="13" s="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P62" i="11"/>
  <c r="GO62" i="11"/>
  <c r="GN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CB62" i="11"/>
  <c r="LY62" i="11" s="1"/>
  <c r="CA62" i="11"/>
  <c r="BZ62" i="11"/>
  <c r="BW62" i="11"/>
  <c r="BQ62" i="11"/>
  <c r="BR62" i="11" s="1"/>
  <c r="BU62" i="11" s="1"/>
  <c r="BI62" i="11"/>
  <c r="BJ62" i="11" s="1"/>
  <c r="AW62" i="11"/>
  <c r="AX62" i="11" s="1"/>
  <c r="AR62" i="11"/>
  <c r="AS62" i="11" s="1"/>
  <c r="AO62" i="11"/>
  <c r="CL62" i="13" s="1"/>
  <c r="AC62" i="11"/>
  <c r="Z62" i="11"/>
  <c r="M62" i="11"/>
  <c r="BN62" i="11" s="1"/>
  <c r="L62" i="11"/>
  <c r="K62" i="11"/>
  <c r="NF62" i="11" s="1"/>
  <c r="NG62" i="11" s="1"/>
  <c r="J62" i="11"/>
  <c r="I62" i="11"/>
  <c r="AJ62" i="11" s="1"/>
  <c r="H62" i="11"/>
  <c r="BA62" i="11" s="1"/>
  <c r="LE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KZ60" i="11"/>
  <c r="LA60" i="11" s="1"/>
  <c r="KX60" i="11"/>
  <c r="KY60" i="11" s="1"/>
  <c r="KT60" i="11"/>
  <c r="KU60" i="11" s="1"/>
  <c r="KK60" i="11"/>
  <c r="KJ60" i="11"/>
  <c r="KI60" i="11"/>
  <c r="KH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P60" i="11"/>
  <c r="GO60" i="11"/>
  <c r="GN60" i="11"/>
  <c r="GK60" i="11"/>
  <c r="FL60" i="11"/>
  <c r="FJ60" i="11"/>
  <c r="FB60" i="11"/>
  <c r="EX60" i="11"/>
  <c r="EW60" i="11"/>
  <c r="EV60" i="11"/>
  <c r="EU60" i="11"/>
  <c r="EK60" i="11"/>
  <c r="DZ60" i="11"/>
  <c r="DM60" i="11"/>
  <c r="DG60" i="11"/>
  <c r="DE60" i="11"/>
  <c r="GD60" i="11" s="1"/>
  <c r="GE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KG60" i="11" s="1"/>
  <c r="J60" i="11"/>
  <c r="I60" i="11"/>
  <c r="H60" i="11"/>
  <c r="BA60" i="11" s="1"/>
  <c r="LE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K58" i="11"/>
  <c r="KJ58" i="11"/>
  <c r="KI58" i="11"/>
  <c r="KH58" i="11"/>
  <c r="KG58" i="11"/>
  <c r="KF58" i="11"/>
  <c r="KE58" i="11"/>
  <c r="JZ58" i="11"/>
  <c r="JY58" i="11"/>
  <c r="HI58" i="13" s="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K58" i="11"/>
  <c r="FL58" i="11"/>
  <c r="FJ58" i="11"/>
  <c r="FB58" i="11"/>
  <c r="EZ58" i="11"/>
  <c r="EX58" i="11"/>
  <c r="EW58" i="11"/>
  <c r="EV58" i="11"/>
  <c r="EU58" i="11"/>
  <c r="EK58" i="11"/>
  <c r="DZ58" i="11"/>
  <c r="DM58" i="11"/>
  <c r="DG58" i="11"/>
  <c r="DE58" i="11"/>
  <c r="GD58" i="11" s="1"/>
  <c r="GE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K56" i="11"/>
  <c r="GO56" i="11" s="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CB56" i="11"/>
  <c r="LY56" i="11" s="1"/>
  <c r="CA56" i="11"/>
  <c r="BZ56" i="11"/>
  <c r="BW56" i="11"/>
  <c r="BQ56" i="11"/>
  <c r="BR56" i="11" s="1"/>
  <c r="BU56" i="11" s="1"/>
  <c r="BI56" i="11"/>
  <c r="BJ56" i="11" s="1"/>
  <c r="AW56" i="11"/>
  <c r="AX56" i="11" s="1"/>
  <c r="AR56" i="11"/>
  <c r="AS56" i="11" s="1"/>
  <c r="AO56" i="11"/>
  <c r="AC56" i="11"/>
  <c r="Z56" i="11"/>
  <c r="GE56" i="11" s="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O54" i="11"/>
  <c r="GK54" i="11"/>
  <c r="GN54" i="11" s="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T52" i="11"/>
  <c r="QS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KZ52" i="11"/>
  <c r="LA52" i="11" s="1"/>
  <c r="KX52" i="11"/>
  <c r="KY52" i="11" s="1"/>
  <c r="KT52" i="11"/>
  <c r="KU52" i="11" s="1"/>
  <c r="KK52" i="11"/>
  <c r="KJ52" i="11"/>
  <c r="KI52" i="11"/>
  <c r="KH52" i="11"/>
  <c r="KG52" i="11"/>
  <c r="KF52" i="11"/>
  <c r="KE52" i="11"/>
  <c r="JZ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P52" i="11"/>
  <c r="GO52" i="11"/>
  <c r="GN52" i="11"/>
  <c r="GK52" i="11"/>
  <c r="FL52" i="11"/>
  <c r="FJ52" i="11"/>
  <c r="FB52" i="11"/>
  <c r="EZ52" i="11"/>
  <c r="EX52" i="11"/>
  <c r="EW52" i="11"/>
  <c r="EV52" i="11"/>
  <c r="EU52" i="11"/>
  <c r="EK52" i="11"/>
  <c r="DZ52" i="11"/>
  <c r="DM52" i="11"/>
  <c r="DG52" i="11"/>
  <c r="DE52" i="11"/>
  <c r="GD52" i="11" s="1"/>
  <c r="GE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CB52" i="11"/>
  <c r="LY52" i="11" s="1"/>
  <c r="CA52" i="11"/>
  <c r="BZ52" i="11"/>
  <c r="BW52" i="11"/>
  <c r="BQ52" i="11"/>
  <c r="BR52" i="11" s="1"/>
  <c r="BU52" i="11" s="1"/>
  <c r="BI52" i="11"/>
  <c r="BJ52" i="11" s="1"/>
  <c r="AW52" i="11"/>
  <c r="AX52" i="11" s="1"/>
  <c r="AR52" i="11"/>
  <c r="AS52" i="11" s="1"/>
  <c r="AO52" i="11"/>
  <c r="CL52" i="13" s="1"/>
  <c r="AC52" i="11"/>
  <c r="Z52" i="11"/>
  <c r="M52" i="11"/>
  <c r="BN52" i="11" s="1"/>
  <c r="L52" i="11"/>
  <c r="K52" i="11"/>
  <c r="NF52" i="11" s="1"/>
  <c r="NG52" i="11" s="1"/>
  <c r="J52" i="11"/>
  <c r="JY52" i="11" s="1"/>
  <c r="HI52" i="13" s="1"/>
  <c r="I52" i="11"/>
  <c r="AJ52" i="11" s="1"/>
  <c r="H52" i="11"/>
  <c r="BA52" i="11" s="1"/>
  <c r="LE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HI50" i="13" s="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O50" i="11"/>
  <c r="GK50" i="11"/>
  <c r="GN50" i="11" s="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KZ48" i="11"/>
  <c r="LA48" i="11" s="1"/>
  <c r="KX48" i="11"/>
  <c r="KY48" i="11" s="1"/>
  <c r="KT48" i="11"/>
  <c r="KU48" i="11" s="1"/>
  <c r="KP48" i="11"/>
  <c r="KQ48" i="11" s="1"/>
  <c r="KK48" i="11"/>
  <c r="KJ48" i="11"/>
  <c r="KI48" i="11"/>
  <c r="KH48" i="11"/>
  <c r="KF48" i="11"/>
  <c r="KE48" i="11"/>
  <c r="JZ48" i="11"/>
  <c r="JY48" i="11"/>
  <c r="HI48" i="13" s="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P48" i="11"/>
  <c r="GO48" i="11"/>
  <c r="GN48" i="11"/>
  <c r="GK48" i="11"/>
  <c r="FL48" i="11"/>
  <c r="FJ48" i="11"/>
  <c r="FB48" i="11"/>
  <c r="EX48" i="11"/>
  <c r="EW48" i="11"/>
  <c r="EV48" i="11"/>
  <c r="EU48" i="11"/>
  <c r="EK48" i="11"/>
  <c r="DZ48" i="11"/>
  <c r="DM48" i="11"/>
  <c r="DG48" i="11"/>
  <c r="DE48" i="11"/>
  <c r="GD48" i="11" s="1"/>
  <c r="GE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CL48" i="13" s="1"/>
  <c r="AC48" i="11"/>
  <c r="Z48" i="11"/>
  <c r="M48" i="11"/>
  <c r="BN48" i="11" s="1"/>
  <c r="L48" i="11"/>
  <c r="K48" i="11"/>
  <c r="NF48" i="11" s="1"/>
  <c r="NG48" i="11" s="1"/>
  <c r="J48" i="11"/>
  <c r="I48" i="11"/>
  <c r="AJ48" i="11" s="1"/>
  <c r="H48" i="11"/>
  <c r="BA48" i="11" s="1"/>
  <c r="LE48" i="11" s="1"/>
  <c r="G48" i="11"/>
  <c r="AB48" i="11" s="1"/>
  <c r="F48" i="11"/>
  <c r="E48" i="11"/>
  <c r="AI48" i="11" s="1"/>
  <c r="D48" i="11"/>
  <c r="AH48" i="11" s="1"/>
  <c r="A48" i="11"/>
  <c r="B42" i="12" s="1"/>
  <c r="RW46" i="11"/>
  <c r="RK46" i="11"/>
  <c r="RH46" i="11"/>
  <c r="QX46" i="11"/>
  <c r="QW46" i="11"/>
  <c r="QV46" i="11"/>
  <c r="QT46" i="11"/>
  <c r="QS46" i="11"/>
  <c r="QB46" i="11"/>
  <c r="PY46" i="11"/>
  <c r="PV46" i="11"/>
  <c r="PT46" i="11"/>
  <c r="PQ46" i="1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KZ46" i="11"/>
  <c r="LA46" i="11" s="1"/>
  <c r="KX46" i="11"/>
  <c r="KY46" i="11" s="1"/>
  <c r="KT46" i="11"/>
  <c r="KU46" i="11" s="1"/>
  <c r="KK46" i="11"/>
  <c r="KJ46" i="11"/>
  <c r="KI46" i="11"/>
  <c r="KH46" i="11"/>
  <c r="KG46" i="11"/>
  <c r="KF46" i="11"/>
  <c r="KE46" i="11"/>
  <c r="JZ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P46" i="11"/>
  <c r="GO46" i="11"/>
  <c r="GN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JY46" i="11" s="1"/>
  <c r="HI46" i="13" s="1"/>
  <c r="I46" i="11"/>
  <c r="AJ46" i="11" s="1"/>
  <c r="H46" i="11"/>
  <c r="BA46" i="11" s="1"/>
  <c r="LE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K44" i="11"/>
  <c r="KJ44" i="11"/>
  <c r="KI44" i="11"/>
  <c r="KH44" i="11"/>
  <c r="KG44" i="11"/>
  <c r="KF44" i="11"/>
  <c r="KE44" i="11"/>
  <c r="JZ44" i="11"/>
  <c r="JY44" i="11"/>
  <c r="HI44" i="13" s="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O44" i="11"/>
  <c r="GN44" i="11"/>
  <c r="GK44" i="11"/>
  <c r="FL44" i="11"/>
  <c r="FJ44" i="11"/>
  <c r="FB44" i="11"/>
  <c r="EZ44" i="11"/>
  <c r="EX44" i="11"/>
  <c r="EW44" i="11"/>
  <c r="EV44" i="11"/>
  <c r="EU44" i="11"/>
  <c r="EK44" i="11"/>
  <c r="DZ44" i="11"/>
  <c r="DM44" i="11"/>
  <c r="DG44" i="11"/>
  <c r="DE44" i="11"/>
  <c r="GD44" i="11" s="1"/>
  <c r="GE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K42" i="11"/>
  <c r="GO42" i="11" s="1"/>
  <c r="FL42" i="11"/>
  <c r="FJ42" i="11"/>
  <c r="FB42" i="11"/>
  <c r="EZ42" i="11"/>
  <c r="EX42" i="11"/>
  <c r="EW42" i="11"/>
  <c r="EV42" i="11"/>
  <c r="EU42" i="11"/>
  <c r="EK42" i="11"/>
  <c r="DZ42" i="11"/>
  <c r="DM42" i="11"/>
  <c r="DG42" i="11"/>
  <c r="DE42" i="11"/>
  <c r="GD42" i="11" s="1"/>
  <c r="GE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U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LL40" i="11"/>
  <c r="LK40" i="11"/>
  <c r="LF40" i="11"/>
  <c r="LE40" i="11"/>
  <c r="LD40" i="11"/>
  <c r="KZ40" i="11"/>
  <c r="LA40" i="11" s="1"/>
  <c r="KX40" i="11"/>
  <c r="KY40" i="11" s="1"/>
  <c r="KT40" i="11"/>
  <c r="KU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O40" i="11"/>
  <c r="GK40" i="11"/>
  <c r="GN40" i="11" s="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G40" i="11"/>
  <c r="AB40" i="11" s="1"/>
  <c r="F40" i="11"/>
  <c r="E40" i="11"/>
  <c r="AI40" i="11" s="1"/>
  <c r="D40" i="11"/>
  <c r="AH40" i="11" s="1"/>
  <c r="RW38" i="11"/>
  <c r="RK38" i="11"/>
  <c r="RH38" i="11"/>
  <c r="QX38" i="11"/>
  <c r="QW38" i="11"/>
  <c r="QV38" i="11"/>
  <c r="QU38" i="11"/>
  <c r="QT38" i="11"/>
  <c r="QS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P38" i="11"/>
  <c r="NQ38" i="11" s="1"/>
  <c r="NN38" i="11"/>
  <c r="NO38" i="11" s="1"/>
  <c r="NJ38" i="11"/>
  <c r="NK38" i="11" s="1"/>
  <c r="MR38" i="11"/>
  <c r="MS38" i="11" s="1"/>
  <c r="LU38" i="11"/>
  <c r="LV38" i="11" s="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P38" i="11"/>
  <c r="GO38" i="11"/>
  <c r="GN38" i="11"/>
  <c r="GK38" i="1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NU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IM76" i="13"/>
  <c r="IG76" i="13"/>
  <c r="IA76" i="13"/>
  <c r="HI76" i="13"/>
  <c r="GW76" i="13"/>
  <c r="GK76" i="13"/>
  <c r="GI76" i="13"/>
  <c r="GD76" i="13"/>
  <c r="FX76" i="13"/>
  <c r="FR76" i="13"/>
  <c r="FL76" i="13"/>
  <c r="FF76" i="13"/>
  <c r="FC76" i="13"/>
  <c r="FB76" i="13"/>
  <c r="EO76" i="13"/>
  <c r="DW76" i="13"/>
  <c r="DU76" i="13"/>
  <c r="DO76" i="13"/>
  <c r="CZ76" i="13"/>
  <c r="CT76" i="13"/>
  <c r="CL76" i="13"/>
  <c r="CI76" i="13"/>
  <c r="AL76" i="13"/>
  <c r="LX74" i="13"/>
  <c r="LR74" i="13"/>
  <c r="LL74" i="13"/>
  <c r="LF74" i="13"/>
  <c r="KZ74" i="13"/>
  <c r="KT74" i="13"/>
  <c r="KN74" i="13"/>
  <c r="KH74" i="13"/>
  <c r="KB74" i="13"/>
  <c r="JV74" i="13"/>
  <c r="JP74" i="13"/>
  <c r="JN74" i="13"/>
  <c r="IM74" i="13"/>
  <c r="IA74" i="13"/>
  <c r="HI74" i="13"/>
  <c r="GI74" i="13"/>
  <c r="GD74" i="13"/>
  <c r="FX74" i="13"/>
  <c r="FL74" i="13"/>
  <c r="FF74" i="13"/>
  <c r="FC74" i="13"/>
  <c r="FB74" i="13"/>
  <c r="EO74" i="13"/>
  <c r="DW74" i="13"/>
  <c r="DU74" i="13"/>
  <c r="CZ74" i="13"/>
  <c r="CL74" i="13"/>
  <c r="CI74" i="13"/>
  <c r="AL74" i="13"/>
  <c r="LX72" i="13"/>
  <c r="LR72" i="13"/>
  <c r="LL72" i="13"/>
  <c r="LF72" i="13"/>
  <c r="KZ72" i="13"/>
  <c r="KT72" i="13"/>
  <c r="KN72" i="13"/>
  <c r="KH72" i="13"/>
  <c r="KB72" i="13"/>
  <c r="JV72" i="13"/>
  <c r="JP72" i="13"/>
  <c r="JN72" i="13"/>
  <c r="IG72" i="13"/>
  <c r="IA72" i="13"/>
  <c r="HU72" i="13"/>
  <c r="HI72" i="13"/>
  <c r="GW72" i="13"/>
  <c r="GI72" i="13"/>
  <c r="GD72" i="13"/>
  <c r="FX72" i="13"/>
  <c r="FL72" i="13"/>
  <c r="FF72" i="13"/>
  <c r="FC72" i="13"/>
  <c r="FB72" i="13"/>
  <c r="EO72" i="13"/>
  <c r="DW72" i="13"/>
  <c r="DU72" i="13"/>
  <c r="CZ72" i="13"/>
  <c r="CT72" i="13"/>
  <c r="CL72" i="13"/>
  <c r="CI72" i="13"/>
  <c r="AL72" i="13"/>
  <c r="LL70" i="13"/>
  <c r="LF70" i="13"/>
  <c r="KT70" i="13"/>
  <c r="KB70" i="13"/>
  <c r="JV70" i="13"/>
  <c r="JP70" i="13"/>
  <c r="JN70" i="13"/>
  <c r="IM70" i="13"/>
  <c r="IG70" i="13"/>
  <c r="IA70" i="13"/>
  <c r="HI70" i="13"/>
  <c r="GW70" i="13"/>
  <c r="GK70" i="13"/>
  <c r="GI70" i="13"/>
  <c r="GD70" i="13"/>
  <c r="FX70" i="13"/>
  <c r="FR70" i="13"/>
  <c r="FL70" i="13"/>
  <c r="FF70" i="13"/>
  <c r="FC70" i="13"/>
  <c r="FB70" i="13"/>
  <c r="EO70" i="13"/>
  <c r="DU70" i="13"/>
  <c r="DO70" i="13"/>
  <c r="CZ70" i="13"/>
  <c r="CT70" i="13"/>
  <c r="CL70" i="13"/>
  <c r="CI70" i="13"/>
  <c r="AL70" i="13"/>
  <c r="KZ68" i="13"/>
  <c r="KB68" i="13"/>
  <c r="JV68" i="13"/>
  <c r="JN68" i="13"/>
  <c r="IG68" i="13"/>
  <c r="HI68" i="13"/>
  <c r="GW68" i="13"/>
  <c r="GK68" i="13"/>
  <c r="GI68" i="13"/>
  <c r="GD68" i="13"/>
  <c r="FR68" i="13"/>
  <c r="FL68" i="13"/>
  <c r="FF68" i="13"/>
  <c r="FC68" i="13"/>
  <c r="EO68" i="13"/>
  <c r="DW68" i="13"/>
  <c r="DU68" i="13"/>
  <c r="DO68" i="13"/>
  <c r="CZ68" i="13"/>
  <c r="CT68" i="13"/>
  <c r="AL68" i="13"/>
  <c r="LX66" i="13"/>
  <c r="LL66" i="13"/>
  <c r="LF66" i="13"/>
  <c r="KZ66" i="13"/>
  <c r="KT66" i="13"/>
  <c r="KB66" i="13"/>
  <c r="JV66" i="13"/>
  <c r="JP66" i="13"/>
  <c r="JN66" i="13"/>
  <c r="IG66" i="13"/>
  <c r="IA66" i="13"/>
  <c r="HU66" i="13"/>
  <c r="GW66" i="13"/>
  <c r="GK66" i="13"/>
  <c r="GI66" i="13"/>
  <c r="GD66" i="13"/>
  <c r="FR66" i="13"/>
  <c r="FL66" i="13"/>
  <c r="FF66" i="13"/>
  <c r="FC66" i="13"/>
  <c r="FB66" i="13"/>
  <c r="EO66" i="13"/>
  <c r="DW66" i="13"/>
  <c r="DU66" i="13"/>
  <c r="CZ66" i="13"/>
  <c r="CT66" i="13"/>
  <c r="CI66" i="13"/>
  <c r="AL66" i="13"/>
  <c r="LX64" i="13"/>
  <c r="LR64" i="13"/>
  <c r="LL64" i="13"/>
  <c r="LF64" i="13"/>
  <c r="KZ64" i="13"/>
  <c r="KT64" i="13"/>
  <c r="KN64" i="13"/>
  <c r="KH64" i="13"/>
  <c r="KB64" i="13"/>
  <c r="JV64" i="13"/>
  <c r="JP64" i="13"/>
  <c r="JN64" i="13"/>
  <c r="IG64" i="13"/>
  <c r="HI64" i="13"/>
  <c r="GW64" i="13"/>
  <c r="GK64" i="13"/>
  <c r="GI64" i="13"/>
  <c r="GD64" i="13"/>
  <c r="FX64" i="13"/>
  <c r="FR64" i="13"/>
  <c r="FL64" i="13"/>
  <c r="FF64" i="13"/>
  <c r="FC64" i="13"/>
  <c r="FB64" i="13"/>
  <c r="EO64" i="13"/>
  <c r="DW64" i="13"/>
  <c r="DU64" i="13"/>
  <c r="DO64" i="13"/>
  <c r="CZ64" i="13"/>
  <c r="CT64" i="13"/>
  <c r="AL64" i="13"/>
  <c r="LX62" i="13"/>
  <c r="LR62" i="13"/>
  <c r="LL62" i="13"/>
  <c r="LF62" i="13"/>
  <c r="KZ62" i="13"/>
  <c r="KT62" i="13"/>
  <c r="KN62" i="13"/>
  <c r="KH62" i="13"/>
  <c r="KB62" i="13"/>
  <c r="JV62" i="13"/>
  <c r="JP62" i="13"/>
  <c r="JN62" i="13"/>
  <c r="IG62" i="13"/>
  <c r="IA62" i="13"/>
  <c r="HU62" i="13"/>
  <c r="GW62" i="13"/>
  <c r="GK62" i="13"/>
  <c r="GI62" i="13"/>
  <c r="GD62" i="13"/>
  <c r="FX62" i="13"/>
  <c r="FR62" i="13"/>
  <c r="FL62" i="13"/>
  <c r="FF62" i="13"/>
  <c r="FC62" i="13"/>
  <c r="FB62" i="13"/>
  <c r="EO62" i="13"/>
  <c r="DW62" i="13"/>
  <c r="DU62" i="13"/>
  <c r="DO62" i="13"/>
  <c r="CT62" i="13"/>
  <c r="AL62" i="13"/>
  <c r="LX60" i="13"/>
  <c r="LR60" i="13"/>
  <c r="LL60" i="13"/>
  <c r="LF60" i="13"/>
  <c r="KZ60" i="13"/>
  <c r="KT60" i="13"/>
  <c r="KN60" i="13"/>
  <c r="KH60" i="13"/>
  <c r="KB60" i="13"/>
  <c r="JV60" i="13"/>
  <c r="JP60" i="13"/>
  <c r="JN60" i="13"/>
  <c r="IM60" i="13"/>
  <c r="IA60" i="13"/>
  <c r="HI60" i="13"/>
  <c r="GI60" i="13"/>
  <c r="GD60" i="13"/>
  <c r="FX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IG58" i="13"/>
  <c r="IA58" i="13"/>
  <c r="GW58" i="13"/>
  <c r="GK58" i="13"/>
  <c r="GI58" i="13"/>
  <c r="GD58" i="13"/>
  <c r="FR58" i="13"/>
  <c r="FL58" i="13"/>
  <c r="FF58" i="13"/>
  <c r="FC58" i="13"/>
  <c r="FB58" i="13"/>
  <c r="EO58" i="13"/>
  <c r="DW58" i="13"/>
  <c r="DU58" i="13"/>
  <c r="DO58" i="13"/>
  <c r="CZ58" i="13"/>
  <c r="CI58" i="13"/>
  <c r="AL58" i="13"/>
  <c r="LX56" i="13"/>
  <c r="LR56" i="13"/>
  <c r="LL56" i="13"/>
  <c r="LF56" i="13"/>
  <c r="KZ56" i="13"/>
  <c r="KT56" i="13"/>
  <c r="KN56" i="13"/>
  <c r="KH56" i="13"/>
  <c r="KB56" i="13"/>
  <c r="JV56" i="13"/>
  <c r="JP56" i="13"/>
  <c r="JN56" i="13"/>
  <c r="HI56" i="13"/>
  <c r="GW56" i="13"/>
  <c r="GI56" i="13"/>
  <c r="GD56" i="13"/>
  <c r="FX56" i="13"/>
  <c r="FL56" i="13"/>
  <c r="FF56" i="13"/>
  <c r="FC56" i="13"/>
  <c r="FB56" i="13"/>
  <c r="EO56" i="13"/>
  <c r="DW56" i="13"/>
  <c r="DU56" i="13"/>
  <c r="CZ56" i="13"/>
  <c r="CT56" i="13"/>
  <c r="CL56" i="13"/>
  <c r="CI56" i="13"/>
  <c r="AL56" i="13"/>
  <c r="LX54" i="13"/>
  <c r="LR54" i="13"/>
  <c r="LL54" i="13"/>
  <c r="LF54" i="13"/>
  <c r="KZ54" i="13"/>
  <c r="KT54" i="13"/>
  <c r="KN54" i="13"/>
  <c r="KH54" i="13"/>
  <c r="KB54" i="13"/>
  <c r="JV54" i="13"/>
  <c r="JP54" i="13"/>
  <c r="JN54" i="13"/>
  <c r="IM54" i="13"/>
  <c r="IG54" i="13"/>
  <c r="IA54" i="13"/>
  <c r="HI54" i="13"/>
  <c r="GK54" i="13"/>
  <c r="GI54" i="13"/>
  <c r="GD54" i="13"/>
  <c r="FL54" i="13"/>
  <c r="FF54" i="13"/>
  <c r="FC54" i="13"/>
  <c r="FB54" i="13"/>
  <c r="EO54" i="13"/>
  <c r="DW54" i="13"/>
  <c r="DU54" i="13"/>
  <c r="DO54" i="13"/>
  <c r="CL54" i="13"/>
  <c r="CI54" i="13"/>
  <c r="AL54" i="13"/>
  <c r="LX52" i="13"/>
  <c r="LR52" i="13"/>
  <c r="LL52" i="13"/>
  <c r="LF52" i="13"/>
  <c r="KZ52" i="13"/>
  <c r="KT52" i="13"/>
  <c r="KN52" i="13"/>
  <c r="KH52" i="13"/>
  <c r="KB52" i="13"/>
  <c r="JV52" i="13"/>
  <c r="JP52" i="13"/>
  <c r="JN52" i="13"/>
  <c r="IM52" i="13"/>
  <c r="GI52" i="13"/>
  <c r="GD52" i="13"/>
  <c r="FX52" i="13"/>
  <c r="FL52" i="13"/>
  <c r="FF52" i="13"/>
  <c r="FC52" i="13"/>
  <c r="FB52" i="13"/>
  <c r="EO52" i="13"/>
  <c r="DW52" i="13"/>
  <c r="DU52" i="13"/>
  <c r="CT52" i="13"/>
  <c r="CI52" i="13"/>
  <c r="AL52" i="13"/>
  <c r="LX50" i="13"/>
  <c r="LR50" i="13"/>
  <c r="LL50" i="13"/>
  <c r="LF50" i="13"/>
  <c r="KZ50" i="13"/>
  <c r="KT50" i="13"/>
  <c r="KN50" i="13"/>
  <c r="KH50" i="13"/>
  <c r="KB50" i="13"/>
  <c r="JV50" i="13"/>
  <c r="JP50" i="13"/>
  <c r="JN50" i="13"/>
  <c r="HU50" i="13"/>
  <c r="GI50" i="13"/>
  <c r="GD50" i="13"/>
  <c r="FX50" i="13"/>
  <c r="FL50" i="13"/>
  <c r="FF50" i="13"/>
  <c r="FC50" i="13"/>
  <c r="FB50" i="13"/>
  <c r="EO50" i="13"/>
  <c r="DW50" i="13"/>
  <c r="DU50" i="13"/>
  <c r="CT50" i="13"/>
  <c r="CL50" i="13"/>
  <c r="AL50" i="13"/>
  <c r="LX48" i="13"/>
  <c r="LR48" i="13"/>
  <c r="LL48" i="13"/>
  <c r="LF48" i="13"/>
  <c r="KZ48" i="13"/>
  <c r="KT48" i="13"/>
  <c r="KN48" i="13"/>
  <c r="KH48" i="13"/>
  <c r="KB48" i="13"/>
  <c r="JV48" i="13"/>
  <c r="JP48" i="13"/>
  <c r="JN48" i="13"/>
  <c r="IG48" i="13"/>
  <c r="IA48" i="13"/>
  <c r="HU48" i="13"/>
  <c r="GW48" i="13"/>
  <c r="GK48" i="13"/>
  <c r="GI48" i="13"/>
  <c r="GD48" i="13"/>
  <c r="FL48" i="13"/>
  <c r="FF48" i="13"/>
  <c r="FC48" i="13"/>
  <c r="FB48" i="13"/>
  <c r="EO48" i="13"/>
  <c r="DW48" i="13"/>
  <c r="DU48" i="13"/>
  <c r="DO48" i="13"/>
  <c r="CZ48" i="13"/>
  <c r="CI48" i="13"/>
  <c r="AL48" i="13"/>
  <c r="LX46" i="13"/>
  <c r="LR46" i="13"/>
  <c r="LL46" i="13"/>
  <c r="LF46" i="13"/>
  <c r="KZ46" i="13"/>
  <c r="KT46" i="13"/>
  <c r="KN46" i="13"/>
  <c r="KH46" i="13"/>
  <c r="KB46" i="13"/>
  <c r="JV46" i="13"/>
  <c r="JP46" i="13"/>
  <c r="JN46" i="13"/>
  <c r="IM46" i="13"/>
  <c r="IG46" i="13"/>
  <c r="IA46" i="13"/>
  <c r="GK46" i="13"/>
  <c r="GI46" i="13"/>
  <c r="GD46" i="13"/>
  <c r="FL46" i="13"/>
  <c r="FF46" i="13"/>
  <c r="FC46" i="13"/>
  <c r="FB46" i="13"/>
  <c r="EO46" i="13"/>
  <c r="DW46" i="13"/>
  <c r="DU46" i="13"/>
  <c r="CT46" i="13"/>
  <c r="CL46" i="13"/>
  <c r="AL46" i="13"/>
  <c r="LX44" i="13"/>
  <c r="LR44" i="13"/>
  <c r="LL44" i="13"/>
  <c r="LF44" i="13"/>
  <c r="KZ44" i="13"/>
  <c r="KT44" i="13"/>
  <c r="KN44" i="13"/>
  <c r="KH44" i="13"/>
  <c r="KB44" i="13"/>
  <c r="JV44" i="13"/>
  <c r="JP44" i="13"/>
  <c r="JN44" i="13"/>
  <c r="IM44" i="13"/>
  <c r="GW44" i="13"/>
  <c r="GI44" i="13"/>
  <c r="GD44" i="13"/>
  <c r="FX44" i="13"/>
  <c r="FL44" i="13"/>
  <c r="FF44" i="13"/>
  <c r="FC44" i="13"/>
  <c r="FB44" i="13"/>
  <c r="EO44" i="13"/>
  <c r="DW44" i="13"/>
  <c r="DU44" i="13"/>
  <c r="CT44" i="13"/>
  <c r="CL44" i="13"/>
  <c r="CI44" i="13"/>
  <c r="AL44" i="13"/>
  <c r="LX42" i="13"/>
  <c r="LR42" i="13"/>
  <c r="LL42" i="13"/>
  <c r="LF42" i="13"/>
  <c r="KZ42" i="13"/>
  <c r="KT42" i="13"/>
  <c r="KN42" i="13"/>
  <c r="KH42" i="13"/>
  <c r="KB42" i="13"/>
  <c r="JV42" i="13"/>
  <c r="JP42" i="13"/>
  <c r="JN42" i="13"/>
  <c r="IM42" i="13"/>
  <c r="IG42" i="13"/>
  <c r="IA42" i="13"/>
  <c r="GW42" i="13"/>
  <c r="GK42" i="13"/>
  <c r="GI42" i="13"/>
  <c r="GD42" i="13"/>
  <c r="FX42" i="13"/>
  <c r="FL42" i="13"/>
  <c r="FF42" i="13"/>
  <c r="FC42" i="13"/>
  <c r="FB42" i="13"/>
  <c r="EO42" i="13"/>
  <c r="DW42" i="13"/>
  <c r="DU42" i="13"/>
  <c r="DO42" i="13"/>
  <c r="CZ42" i="13"/>
  <c r="CT42" i="13"/>
  <c r="AL42" i="13"/>
  <c r="LX40" i="13"/>
  <c r="LR40" i="13"/>
  <c r="LL40" i="13"/>
  <c r="LF40" i="13"/>
  <c r="KZ40" i="13"/>
  <c r="KT40" i="13"/>
  <c r="KN40" i="13"/>
  <c r="KH40" i="13"/>
  <c r="KB40" i="13"/>
  <c r="JV40" i="13"/>
  <c r="JP40" i="13"/>
  <c r="JN40" i="13"/>
  <c r="IG40" i="13"/>
  <c r="IA40" i="13"/>
  <c r="GW40" i="13"/>
  <c r="GK40" i="13"/>
  <c r="GI40" i="13"/>
  <c r="GD40" i="13"/>
  <c r="FR40" i="13"/>
  <c r="FL40" i="13"/>
  <c r="FF40" i="13"/>
  <c r="FC40" i="13"/>
  <c r="FB40" i="13"/>
  <c r="EO40" i="13"/>
  <c r="DW40" i="13"/>
  <c r="DU40" i="13"/>
  <c r="DO40" i="13"/>
  <c r="CZ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LX70" i="13" l="1"/>
  <c r="LX68" i="13"/>
  <c r="FR74" i="13"/>
  <c r="NH74" i="11"/>
  <c r="CT74" i="13"/>
  <c r="GW74" i="13"/>
  <c r="HU74" i="13"/>
  <c r="DO74" i="13"/>
  <c r="GK74" i="13"/>
  <c r="IG74" i="13"/>
  <c r="GE76" i="11"/>
  <c r="HU76" i="13"/>
  <c r="GT64" i="11"/>
  <c r="GT46" i="11"/>
  <c r="GT42" i="11"/>
  <c r="GE40" i="11"/>
  <c r="IM50" i="13"/>
  <c r="CI50" i="13"/>
  <c r="LL68" i="13"/>
  <c r="KN68" i="13"/>
  <c r="FB68" i="13"/>
  <c r="JP68" i="13"/>
  <c r="LA66" i="11"/>
  <c r="DO66" i="13"/>
  <c r="FX66" i="13"/>
  <c r="CZ62" i="13"/>
  <c r="IA52" i="13"/>
  <c r="CZ52" i="13"/>
  <c r="GW50" i="13"/>
  <c r="CZ50" i="13"/>
  <c r="D40" i="12"/>
  <c r="DO46" i="13"/>
  <c r="FX46" i="13"/>
  <c r="GE62" i="11"/>
  <c r="GT76" i="11"/>
  <c r="GT74" i="11"/>
  <c r="GT72" i="11"/>
  <c r="GT70" i="11"/>
  <c r="GT68" i="11"/>
  <c r="GT66" i="11"/>
  <c r="GT62" i="11"/>
  <c r="GT60" i="11"/>
  <c r="GT56" i="11"/>
  <c r="GT54" i="11"/>
  <c r="GT52" i="11"/>
  <c r="GT50" i="11"/>
  <c r="GT44" i="11"/>
  <c r="GT40" i="11"/>
  <c r="GT38" i="11"/>
  <c r="NT38" i="11"/>
  <c r="GN72" i="11"/>
  <c r="GN58" i="11"/>
  <c r="GO58" i="11"/>
  <c r="GN56" i="11"/>
  <c r="GN42" i="11"/>
  <c r="KP46" i="11"/>
  <c r="KP44" i="11"/>
  <c r="KP42" i="11"/>
  <c r="KP40" i="11"/>
  <c r="FR48" i="13"/>
  <c r="KG48" i="11"/>
  <c r="FR52" i="13"/>
  <c r="KP52" i="11"/>
  <c r="KP54" i="11"/>
  <c r="KQ54" i="11" s="1"/>
  <c r="FR54" i="13"/>
  <c r="KP56" i="11"/>
  <c r="KP58" i="11"/>
  <c r="KP60" i="11"/>
  <c r="FR60" i="13"/>
  <c r="PR72" i="11"/>
  <c r="D66" i="12"/>
  <c r="DO72" i="13"/>
  <c r="FR72" i="13"/>
  <c r="GK72" i="13"/>
  <c r="IM72" i="13"/>
  <c r="KZ70" i="13"/>
  <c r="HU70" i="13"/>
  <c r="GE68" i="11"/>
  <c r="FX68" i="13"/>
  <c r="KH68" i="13"/>
  <c r="LF68" i="13"/>
  <c r="IM68" i="13"/>
  <c r="CI68" i="13"/>
  <c r="HU68" i="13"/>
  <c r="IA68" i="13"/>
  <c r="GE66" i="11"/>
  <c r="D58" i="12"/>
  <c r="IM64" i="13"/>
  <c r="CI64" i="13"/>
  <c r="HU64" i="13"/>
  <c r="IA64" i="13"/>
  <c r="IM62" i="13"/>
  <c r="CI62" i="13"/>
  <c r="GK60" i="13"/>
  <c r="GW60" i="13"/>
  <c r="IG60" i="13"/>
  <c r="PR58" i="11"/>
  <c r="CT58" i="13"/>
  <c r="FX58" i="13"/>
  <c r="IM58" i="13"/>
  <c r="CL58" i="13"/>
  <c r="PR56" i="11"/>
  <c r="IA56" i="13"/>
  <c r="D50" i="12"/>
  <c r="DO56" i="13"/>
  <c r="FR56" i="13"/>
  <c r="GK56" i="13"/>
  <c r="IG56" i="13"/>
  <c r="IM56" i="13"/>
  <c r="PR54" i="11"/>
  <c r="GE54" i="11"/>
  <c r="CT54" i="13"/>
  <c r="FX54" i="13"/>
  <c r="CZ54" i="13"/>
  <c r="GW54" i="13"/>
  <c r="HU54" i="13"/>
  <c r="D46" i="12"/>
  <c r="GW52" i="13"/>
  <c r="DO52" i="13"/>
  <c r="GK52" i="13"/>
  <c r="IG52" i="13"/>
  <c r="IA50" i="13"/>
  <c r="DO50" i="13"/>
  <c r="FR50" i="13"/>
  <c r="GK50" i="13"/>
  <c r="IG50" i="13"/>
  <c r="AA44" i="12"/>
  <c r="AB44" i="12" s="1"/>
  <c r="CT48" i="13"/>
  <c r="FX48" i="13"/>
  <c r="IM48" i="13"/>
  <c r="PR44" i="11"/>
  <c r="PR46" i="11"/>
  <c r="GE46" i="11"/>
  <c r="FR46" i="13"/>
  <c r="CI46" i="13"/>
  <c r="CZ46" i="13"/>
  <c r="GW46" i="13"/>
  <c r="CZ44" i="13"/>
  <c r="IA44" i="13"/>
  <c r="DO44" i="13"/>
  <c r="FR44" i="13"/>
  <c r="GK44" i="13"/>
  <c r="IG44" i="13"/>
  <c r="CI42" i="13"/>
  <c r="FR42" i="13"/>
  <c r="PR40" i="11"/>
  <c r="CL40" i="13"/>
  <c r="AA34" i="12"/>
  <c r="AB34" i="12" s="1"/>
  <c r="CT40" i="13"/>
  <c r="FX40" i="13"/>
  <c r="IM40" i="13"/>
  <c r="GE38" i="11"/>
  <c r="AA32" i="12"/>
  <c r="AB32" i="12" s="1"/>
  <c r="D32" i="12"/>
  <c r="GE100" i="11"/>
  <c r="OR100" i="1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IT68" i="11" s="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I70" i="11" s="1"/>
  <c r="FX74" i="11"/>
  <c r="FX78" i="11"/>
  <c r="FX82" i="11"/>
  <c r="FX84" i="11"/>
  <c r="FX94" i="11"/>
  <c r="FX96" i="11"/>
  <c r="FX100" i="11"/>
  <c r="CL42" i="13"/>
  <c r="BO54" i="11"/>
  <c r="NV64" i="11"/>
  <c r="NW64" i="11" s="1"/>
  <c r="OR64" i="11"/>
  <c r="OS64" i="11" s="1"/>
  <c r="OT64" i="11" s="1"/>
  <c r="RA64" i="11"/>
  <c r="NH66" i="11"/>
  <c r="FH66" i="11"/>
  <c r="FI66" i="11" s="1"/>
  <c r="RA66" i="11"/>
  <c r="ND68" i="11"/>
  <c r="RD68" i="11" s="1"/>
  <c r="NV70" i="11"/>
  <c r="OR56" i="11"/>
  <c r="RA56" i="11"/>
  <c r="KA58" i="11"/>
  <c r="KB58" i="11" s="1"/>
  <c r="KC58" i="11" s="1"/>
  <c r="NV60" i="11"/>
  <c r="NW60" i="11" s="1"/>
  <c r="OR60" i="11"/>
  <c r="OS60" i="11" s="1"/>
  <c r="OT60" i="11" s="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OS48" i="11" s="1"/>
  <c r="OT48" i="11" s="1"/>
  <c r="RA48" i="11"/>
  <c r="FK50" i="11"/>
  <c r="OM52" i="11"/>
  <c r="L46" i="12"/>
  <c r="M46" i="12" s="1"/>
  <c r="FK52" i="11"/>
  <c r="FM54" i="11"/>
  <c r="FM56" i="11"/>
  <c r="FK58" i="11"/>
  <c r="FM60" i="11"/>
  <c r="FM62" i="11"/>
  <c r="FM64" i="11"/>
  <c r="FK66" i="11"/>
  <c r="OR66" i="11"/>
  <c r="FM68"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AA68" i="12"/>
  <c r="AB68" i="12" s="1"/>
  <c r="AA66" i="12"/>
  <c r="AB66" i="12" s="1"/>
  <c r="AA64" i="12"/>
  <c r="AB64" i="12" s="1"/>
  <c r="AA62" i="12"/>
  <c r="AB62" i="12" s="1"/>
  <c r="AA60" i="12"/>
  <c r="AB60" i="12" s="1"/>
  <c r="AA58" i="12"/>
  <c r="AB58" i="12" s="1"/>
  <c r="AA56" i="12"/>
  <c r="AB56" i="12" s="1"/>
  <c r="AA54" i="12"/>
  <c r="AB54" i="12" s="1"/>
  <c r="AA52" i="12"/>
  <c r="AB52" i="12" s="1"/>
  <c r="AA50" i="12"/>
  <c r="AB50" i="12" s="1"/>
  <c r="KA50" i="11"/>
  <c r="KB50" i="11" s="1"/>
  <c r="KC50" i="11" s="1"/>
  <c r="KL50" i="11"/>
  <c r="IS86" i="11"/>
  <c r="RT86" i="11"/>
  <c r="KA86" i="11"/>
  <c r="KB86" i="11" s="1"/>
  <c r="KL86" i="11"/>
  <c r="KM86" i="11" s="1"/>
  <c r="KN86" i="11" s="1"/>
  <c r="KA88" i="11"/>
  <c r="KB88" i="11" s="1"/>
  <c r="AY38" i="11"/>
  <c r="OR70" i="11"/>
  <c r="OS70" i="11" s="1"/>
  <c r="OT70" i="11" s="1"/>
  <c r="BO72" i="11"/>
  <c r="LG90" i="11"/>
  <c r="LH90" i="11" s="1"/>
  <c r="LM90" i="11"/>
  <c r="LN90" i="11" s="1"/>
  <c r="LO90" i="11" s="1"/>
  <c r="KL52" i="11"/>
  <c r="KA54" i="11"/>
  <c r="KB54" i="11" s="1"/>
  <c r="KC54" i="11" s="1"/>
  <c r="KL54" i="11"/>
  <c r="KL56" i="11"/>
  <c r="KL70" i="11"/>
  <c r="IS74" i="11"/>
  <c r="JK74" i="11" s="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C42" i="11" s="1"/>
  <c r="KL42" i="11"/>
  <c r="RA42" i="11"/>
  <c r="KL44" i="11"/>
  <c r="RT46" i="11"/>
  <c r="RJ46" i="11" s="1"/>
  <c r="FC46" i="11"/>
  <c r="FN46" i="11" s="1"/>
  <c r="KA46" i="11"/>
  <c r="KB46" i="11" s="1"/>
  <c r="KC46" i="11" s="1"/>
  <c r="IS62" i="11"/>
  <c r="JK62" i="11" s="1"/>
  <c r="RT62" i="11"/>
  <c r="FC62" i="11"/>
  <c r="FD62" i="11" s="1"/>
  <c r="RL62" i="11" s="1"/>
  <c r="KL46" i="11"/>
  <c r="RA46" i="11"/>
  <c r="KL48" i="11"/>
  <c r="OY52" i="11"/>
  <c r="OZ52" i="11" s="1"/>
  <c r="LM60" i="11"/>
  <c r="AY62" i="11"/>
  <c r="LM64" i="11"/>
  <c r="BO68" i="11"/>
  <c r="FC72" i="11"/>
  <c r="FD72" i="11" s="1"/>
  <c r="RL72" i="11" s="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LG40" i="11"/>
  <c r="OY40" i="11"/>
  <c r="LG44" i="11"/>
  <c r="OY44" i="11"/>
  <c r="OZ44" i="11" s="1"/>
  <c r="LM48" i="11"/>
  <c r="RA50" i="11"/>
  <c r="AY54" i="11"/>
  <c r="JB54" i="11"/>
  <c r="KV54" i="11"/>
  <c r="OR54" i="11"/>
  <c r="LM56" i="11"/>
  <c r="OY62" i="11"/>
  <c r="OZ62" i="11" s="1"/>
  <c r="MX68" i="11"/>
  <c r="RT68" i="11"/>
  <c r="RJ68" i="11" s="1"/>
  <c r="OY68" i="11"/>
  <c r="OZ68" i="11" s="1"/>
  <c r="OR72" i="11"/>
  <c r="OS72" i="11" s="1"/>
  <c r="OT72" i="11" s="1"/>
  <c r="AY74" i="11"/>
  <c r="FH74" i="11"/>
  <c r="FI74" i="11" s="1"/>
  <c r="LM74" i="11"/>
  <c r="OR76" i="11"/>
  <c r="OS76" i="11" s="1"/>
  <c r="OT76" i="11" s="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D40" i="11" s="1"/>
  <c r="RL40" i="11" s="1"/>
  <c r="KA40" i="11"/>
  <c r="KB40" i="11" s="1"/>
  <c r="LB40" i="11"/>
  <c r="LM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KC44" i="11" s="1"/>
  <c r="LB44" i="11"/>
  <c r="LM44" i="11"/>
  <c r="NV44" i="11"/>
  <c r="NW44" i="11" s="1"/>
  <c r="NX44" i="11" s="1"/>
  <c r="OR44" i="11"/>
  <c r="OS44" i="11" s="1"/>
  <c r="OT44" i="11" s="1"/>
  <c r="RA44" i="11"/>
  <c r="NV46" i="11"/>
  <c r="NW46" i="11" s="1"/>
  <c r="OR46" i="11"/>
  <c r="OS46" i="11" s="1"/>
  <c r="OT46" i="11" s="1"/>
  <c r="NH48" i="11"/>
  <c r="BO48" i="11"/>
  <c r="KA48" i="11"/>
  <c r="KB48" i="11" s="1"/>
  <c r="KC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OY56" i="11"/>
  <c r="OZ56" i="11" s="1"/>
  <c r="RT58" i="11"/>
  <c r="FC58" i="11"/>
  <c r="FN58" i="11" s="1"/>
  <c r="HH58" i="11"/>
  <c r="KL58" i="11"/>
  <c r="LG58" i="11"/>
  <c r="OY58" i="11"/>
  <c r="OZ58" i="11" s="1"/>
  <c r="IS60" i="11"/>
  <c r="HH60" i="11"/>
  <c r="KA60" i="11"/>
  <c r="KB60" i="11" s="1"/>
  <c r="KC60" i="11" s="1"/>
  <c r="KL60" i="11"/>
  <c r="OY60" i="11"/>
  <c r="HE62" i="11"/>
  <c r="KA62" i="11"/>
  <c r="KB62" i="11" s="1"/>
  <c r="KC62" i="11" s="1"/>
  <c r="KL62" i="11"/>
  <c r="OR62" i="11"/>
  <c r="OS62" i="11" s="1"/>
  <c r="OT62" i="11" s="1"/>
  <c r="RA62" i="11"/>
  <c r="KA64" i="11"/>
  <c r="KB64" i="11" s="1"/>
  <c r="KC64" i="11" s="1"/>
  <c r="KL64" i="11"/>
  <c r="OY64" i="11"/>
  <c r="OZ64" i="11" s="1"/>
  <c r="IS66" i="11"/>
  <c r="IT66" i="11" s="1"/>
  <c r="RT66" i="11"/>
  <c r="KA66" i="11"/>
  <c r="KB66" i="11" s="1"/>
  <c r="KC66" i="11" s="1"/>
  <c r="KL66" i="11"/>
  <c r="OY66" i="11"/>
  <c r="KA68" i="11"/>
  <c r="KB68" i="11" s="1"/>
  <c r="KC68" i="11" s="1"/>
  <c r="KL68" i="11"/>
  <c r="LB68" i="11"/>
  <c r="NV68" i="11"/>
  <c r="OR68" i="11"/>
  <c r="OS68" i="11" s="1"/>
  <c r="OT68" i="11" s="1"/>
  <c r="RA68" i="11"/>
  <c r="NH70" i="11"/>
  <c r="BO70" i="11"/>
  <c r="AY70" i="11"/>
  <c r="IS70" i="11"/>
  <c r="JK70" i="11" s="1"/>
  <c r="RT70" i="11"/>
  <c r="OY70" i="11"/>
  <c r="OZ70" i="11" s="1"/>
  <c r="KA72" i="11"/>
  <c r="KB72" i="11" s="1"/>
  <c r="KC72" i="11" s="1"/>
  <c r="KL72" i="11"/>
  <c r="RA72" i="11"/>
  <c r="HE74" i="11"/>
  <c r="KL74" i="11"/>
  <c r="OY74" i="11"/>
  <c r="OZ74" i="11" s="1"/>
  <c r="RT76" i="11"/>
  <c r="JB76" i="11"/>
  <c r="FC76" i="11"/>
  <c r="FN76" i="11" s="1"/>
  <c r="HH76" i="11"/>
  <c r="KA76" i="11"/>
  <c r="KB76" i="11" s="1"/>
  <c r="KL76" i="11"/>
  <c r="NR76" i="11"/>
  <c r="RA76" i="11"/>
  <c r="HE78" i="11"/>
  <c r="KL78" i="11"/>
  <c r="KM78" i="11" s="1"/>
  <c r="LG78" i="11"/>
  <c r="LH78" i="11" s="1"/>
  <c r="OY78" i="11"/>
  <c r="OZ78" i="11" s="1"/>
  <c r="AY80" i="11"/>
  <c r="NH52" i="11"/>
  <c r="BO52" i="11"/>
  <c r="AY52" i="11"/>
  <c r="IS52" i="11"/>
  <c r="JK52" i="11" s="1"/>
  <c r="RT52" i="11"/>
  <c r="RJ52" i="11" s="1"/>
  <c r="FH52" i="11"/>
  <c r="FI52" i="11" s="1"/>
  <c r="JB52" i="11"/>
  <c r="ML52" i="11"/>
  <c r="FC52" i="11"/>
  <c r="FD52" i="11" s="1"/>
  <c r="RL52" i="11" s="1"/>
  <c r="HD52" i="11"/>
  <c r="HE52" i="11" s="1"/>
  <c r="KA52" i="11"/>
  <c r="KB52" i="11" s="1"/>
  <c r="KC52" i="11" s="1"/>
  <c r="LB52" i="11"/>
  <c r="NV52" i="11"/>
  <c r="NW52" i="11" s="1"/>
  <c r="NX52" i="11" s="1"/>
  <c r="OR52" i="11"/>
  <c r="OS52" i="11" s="1"/>
  <c r="OT52" i="11" s="1"/>
  <c r="RA52" i="11"/>
  <c r="ND54" i="11"/>
  <c r="RD54" i="11" s="1"/>
  <c r="IS54" i="11"/>
  <c r="JK54" i="11" s="1"/>
  <c r="MF54" i="11"/>
  <c r="JI54" i="11"/>
  <c r="FA54" i="11"/>
  <c r="HH54" i="11"/>
  <c r="II54" i="11"/>
  <c r="JQ54" i="11"/>
  <c r="KR54" i="11"/>
  <c r="LB54" i="11"/>
  <c r="LG54" i="11"/>
  <c r="LM54" i="11"/>
  <c r="RA54" i="11"/>
  <c r="HE56" i="11"/>
  <c r="JB62" i="11"/>
  <c r="ML62" i="11"/>
  <c r="II62" i="11"/>
  <c r="JQ62" i="11"/>
  <c r="KV62" i="11"/>
  <c r="LB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RE40" i="11" s="1"/>
  <c r="PJ40" i="11"/>
  <c r="PO40" i="11"/>
  <c r="PU40" i="11"/>
  <c r="PZ40" i="11"/>
  <c r="ND42" i="11"/>
  <c r="RD42" i="11" s="1"/>
  <c r="AY42" i="11"/>
  <c r="BO42" i="11"/>
  <c r="EY42" i="11"/>
  <c r="MF42" i="11"/>
  <c r="JI42" i="11"/>
  <c r="FA42" i="11"/>
  <c r="MT42" i="11"/>
  <c r="OK42" i="11"/>
  <c r="PJ42" i="11"/>
  <c r="JB44" i="11"/>
  <c r="ML44" i="11"/>
  <c r="MT44" i="11"/>
  <c r="NL44" i="11"/>
  <c r="NR44" i="11"/>
  <c r="PE44" i="11"/>
  <c r="PM44" i="11"/>
  <c r="PW44" i="11"/>
  <c r="QC44" i="11"/>
  <c r="ML46" i="11"/>
  <c r="II46" i="11"/>
  <c r="MT46" i="11"/>
  <c r="NX46" i="11"/>
  <c r="OK46" i="11"/>
  <c r="PJ46" i="11"/>
  <c r="AY48" i="11"/>
  <c r="IS48" i="11"/>
  <c r="RT48" i="11"/>
  <c r="RJ48" i="11" s="1"/>
  <c r="FH48" i="11"/>
  <c r="FI48" i="11" s="1"/>
  <c r="JB48" i="11"/>
  <c r="ML48" i="11"/>
  <c r="KR48" i="11"/>
  <c r="NV48" i="11"/>
  <c r="NW48" i="11" s="1"/>
  <c r="NX48" i="11" s="1"/>
  <c r="OB48" i="11"/>
  <c r="RE48" i="11" s="1"/>
  <c r="PJ48" i="11"/>
  <c r="PO48" i="11"/>
  <c r="PU48" i="11"/>
  <c r="PZ48" i="11"/>
  <c r="ND50" i="11"/>
  <c r="RD50" i="11" s="1"/>
  <c r="AY50" i="11"/>
  <c r="BO50" i="11"/>
  <c r="IS50" i="11"/>
  <c r="IT50" i="11" s="1"/>
  <c r="MF50" i="11"/>
  <c r="JI50" i="11"/>
  <c r="FA50" i="11"/>
  <c r="JQ50" i="11"/>
  <c r="KR50" i="11"/>
  <c r="KV50" i="11"/>
  <c r="LB50" i="11"/>
  <c r="LG50" i="11"/>
  <c r="LM50" i="11"/>
  <c r="NL50" i="11"/>
  <c r="OB50" i="11"/>
  <c r="OM50" i="11"/>
  <c r="PE50" i="11"/>
  <c r="MF52" i="11"/>
  <c r="JI52" i="11"/>
  <c r="II52" i="11"/>
  <c r="JQ52" i="11"/>
  <c r="KV52" i="11"/>
  <c r="MT52" i="11"/>
  <c r="NL52" i="11"/>
  <c r="NR52" i="11"/>
  <c r="PE52" i="11"/>
  <c r="PM52" i="11"/>
  <c r="PW52" i="11"/>
  <c r="QC52" i="11"/>
  <c r="RT54" i="11"/>
  <c r="ML54" i="11"/>
  <c r="FC54" i="11"/>
  <c r="FN54" i="11" s="1"/>
  <c r="MT54" i="11"/>
  <c r="RC54" i="11" s="1"/>
  <c r="NV54" i="11"/>
  <c r="NW54" i="11" s="1"/>
  <c r="NX54" i="11" s="1"/>
  <c r="II56" i="11"/>
  <c r="JQ56" i="11"/>
  <c r="KV56" i="11"/>
  <c r="LB56" i="11"/>
  <c r="II58" i="11"/>
  <c r="LB58" i="11"/>
  <c r="IS38" i="11"/>
  <c r="IT38" i="11" s="1"/>
  <c r="RT38" i="11"/>
  <c r="RJ38" i="11" s="1"/>
  <c r="JB38" i="11"/>
  <c r="ML38" i="11"/>
  <c r="MT38" i="11"/>
  <c r="NV38" i="11"/>
  <c r="NW38" i="11" s="1"/>
  <c r="NX38" i="11" s="1"/>
  <c r="OK38" i="11"/>
  <c r="PJ38" i="11"/>
  <c r="MF40" i="11"/>
  <c r="JI40" i="11"/>
  <c r="II40" i="11"/>
  <c r="KC40" i="11"/>
  <c r="MT40" i="11"/>
  <c r="NL40" i="11"/>
  <c r="NR40" i="11"/>
  <c r="OZ40" i="11"/>
  <c r="PE40" i="11"/>
  <c r="PM40" i="11"/>
  <c r="PW40" i="11"/>
  <c r="QC40" i="11"/>
  <c r="JB42" i="11"/>
  <c r="ML42" i="11"/>
  <c r="II42" i="11"/>
  <c r="JQ42" i="11"/>
  <c r="KV42" i="11"/>
  <c r="LB42" i="11"/>
  <c r="LG42" i="11"/>
  <c r="LM42" i="11"/>
  <c r="NL42" i="11"/>
  <c r="OB42" i="11"/>
  <c r="OM42" i="11"/>
  <c r="PE42" i="11"/>
  <c r="MF44" i="11"/>
  <c r="JI44" i="11"/>
  <c r="II44" i="11"/>
  <c r="JQ44" i="11"/>
  <c r="KV44" i="11"/>
  <c r="OB44" i="11"/>
  <c r="PJ44" i="11"/>
  <c r="PO44" i="11"/>
  <c r="PU44" i="11"/>
  <c r="PZ44" i="11"/>
  <c r="ND46" i="11"/>
  <c r="RD46" i="11" s="1"/>
  <c r="AY46" i="11"/>
  <c r="BO46" i="11"/>
  <c r="IS46" i="11"/>
  <c r="IT46" i="11" s="1"/>
  <c r="MF46" i="11"/>
  <c r="JI46" i="11"/>
  <c r="FA46" i="11"/>
  <c r="JQ46" i="11"/>
  <c r="KV46" i="11"/>
  <c r="LB46" i="11"/>
  <c r="NL46" i="11"/>
  <c r="OB46" i="11"/>
  <c r="OM46" i="11"/>
  <c r="PE46" i="11"/>
  <c r="MF48" i="11"/>
  <c r="JI48" i="11"/>
  <c r="II48" i="11"/>
  <c r="JQ48" i="11"/>
  <c r="KV48" i="11"/>
  <c r="LB48" i="11"/>
  <c r="MT48" i="11"/>
  <c r="NL48" i="11"/>
  <c r="NR48" i="11"/>
  <c r="OZ48" i="11"/>
  <c r="PE48" i="11"/>
  <c r="PM48" i="11"/>
  <c r="PW48" i="11"/>
  <c r="QC48" i="11"/>
  <c r="ML50" i="11"/>
  <c r="II50" i="11"/>
  <c r="MT50" i="11"/>
  <c r="OK50" i="11"/>
  <c r="OS50" i="11"/>
  <c r="OT50" i="11" s="1"/>
  <c r="PJ50" i="11"/>
  <c r="OB52" i="11"/>
  <c r="PJ52" i="11"/>
  <c r="PO52" i="11"/>
  <c r="PU52" i="11"/>
  <c r="PZ52" i="11"/>
  <c r="NL54" i="11"/>
  <c r="NR54" i="11"/>
  <c r="OB54" i="11"/>
  <c r="OM54" i="11"/>
  <c r="PE54" i="11"/>
  <c r="MF56" i="11"/>
  <c r="JI56" i="11"/>
  <c r="MT56" i="11"/>
  <c r="RC56" i="11" s="1"/>
  <c r="NL56" i="11"/>
  <c r="NR56" i="11"/>
  <c r="PE56" i="11"/>
  <c r="PM56" i="11"/>
  <c r="PW56" i="11"/>
  <c r="QC56" i="11"/>
  <c r="LY58" i="11"/>
  <c r="LZ58" i="11" s="1"/>
  <c r="FA58" i="11"/>
  <c r="JB58" i="11"/>
  <c r="ML58" i="11"/>
  <c r="MT58" i="11"/>
  <c r="RC58" i="11" s="1"/>
  <c r="NL58" i="11"/>
  <c r="NR58" i="11"/>
  <c r="PE58" i="11"/>
  <c r="PM58" i="11"/>
  <c r="PW58" i="11"/>
  <c r="QC58" i="11"/>
  <c r="JB60" i="11"/>
  <c r="II60" i="11"/>
  <c r="MF64" i="11"/>
  <c r="JI64" i="11"/>
  <c r="JQ64" i="11"/>
  <c r="KV64" i="11"/>
  <c r="LB64" i="11"/>
  <c r="NX64" i="11"/>
  <c r="OB64" i="11"/>
  <c r="RE64" i="11" s="1"/>
  <c r="PJ64" i="11"/>
  <c r="PO64" i="11"/>
  <c r="PU64" i="11"/>
  <c r="PZ64" i="11"/>
  <c r="BO66" i="11"/>
  <c r="AY66" i="11"/>
  <c r="MF66" i="11"/>
  <c r="JI66" i="11"/>
  <c r="II66" i="11"/>
  <c r="JQ66" i="11"/>
  <c r="KV66" i="11"/>
  <c r="LB66" i="11"/>
  <c r="NL66" i="11"/>
  <c r="NR66" i="11"/>
  <c r="OB66" i="11"/>
  <c r="RE66" i="11" s="1"/>
  <c r="OM66" i="11"/>
  <c r="OS66" i="11"/>
  <c r="OT66" i="11" s="1"/>
  <c r="PJ66" i="11"/>
  <c r="PO66" i="11"/>
  <c r="JB68" i="11"/>
  <c r="ML68" i="11"/>
  <c r="II68" i="11"/>
  <c r="JQ68" i="11"/>
  <c r="KV68" i="11"/>
  <c r="OB68" i="11"/>
  <c r="PJ68" i="11"/>
  <c r="PO68" i="11"/>
  <c r="PU68" i="11"/>
  <c r="PZ68" i="11"/>
  <c r="JB70" i="11"/>
  <c r="ML70" i="11"/>
  <c r="FC70" i="11"/>
  <c r="FD70" i="11" s="1"/>
  <c r="RL70" i="11" s="1"/>
  <c r="II70" i="11"/>
  <c r="JQ70" i="11"/>
  <c r="KV70" i="11"/>
  <c r="OB70" i="11"/>
  <c r="PJ70" i="11"/>
  <c r="PO70" i="11"/>
  <c r="PU70" i="11"/>
  <c r="PZ70" i="11"/>
  <c r="AY72" i="11"/>
  <c r="BS72" i="11"/>
  <c r="BV72" i="11" s="1"/>
  <c r="RT72" i="11"/>
  <c r="LG72" i="11"/>
  <c r="LM72" i="11"/>
  <c r="MF74" i="11"/>
  <c r="JI74" i="11"/>
  <c r="II74" i="11"/>
  <c r="JQ74" i="11"/>
  <c r="KV74" i="11"/>
  <c r="MT74" i="11"/>
  <c r="NL74" i="11"/>
  <c r="NR74" i="11"/>
  <c r="PE74" i="11"/>
  <c r="PM74" i="11"/>
  <c r="PW74" i="11"/>
  <c r="QC74" i="11"/>
  <c r="ML76" i="11"/>
  <c r="II76" i="11"/>
  <c r="KC76" i="11"/>
  <c r="MT76" i="11"/>
  <c r="NX76" i="11"/>
  <c r="OK76" i="11"/>
  <c r="PJ76" i="11"/>
  <c r="JB78" i="11"/>
  <c r="ML78" i="11"/>
  <c r="LB78" i="11"/>
  <c r="OK54" i="11"/>
  <c r="OS54" i="11"/>
  <c r="OT54" i="11" s="1"/>
  <c r="PJ54" i="11"/>
  <c r="NH56" i="11"/>
  <c r="BO56" i="11"/>
  <c r="AY56" i="11"/>
  <c r="IS56" i="11"/>
  <c r="JK56" i="11" s="1"/>
  <c r="RT56" i="11"/>
  <c r="RJ56" i="11" s="1"/>
  <c r="FH56" i="11"/>
  <c r="FI56" i="11" s="1"/>
  <c r="JB56" i="11"/>
  <c r="ML56" i="11"/>
  <c r="FC56" i="11"/>
  <c r="FD56" i="11" s="1"/>
  <c r="RL56" i="11" s="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NV58" i="11"/>
  <c r="NW58" i="11" s="1"/>
  <c r="NX58" i="11" s="1"/>
  <c r="OB58" i="11"/>
  <c r="RE58" i="11" s="1"/>
  <c r="OS58" i="11"/>
  <c r="OT58" i="11" s="1"/>
  <c r="PJ58" i="11"/>
  <c r="PO58" i="11"/>
  <c r="PU58" i="11"/>
  <c r="PZ58" i="11"/>
  <c r="AY60" i="11"/>
  <c r="BO60" i="11"/>
  <c r="EY60" i="11"/>
  <c r="FA60" i="11"/>
  <c r="FH62" i="11"/>
  <c r="FI62" i="11" s="1"/>
  <c r="MF62" i="11"/>
  <c r="JI62" i="11"/>
  <c r="KR62" i="11"/>
  <c r="MT62" i="11"/>
  <c r="RC62" i="11" s="1"/>
  <c r="NV62" i="11"/>
  <c r="NW62" i="11" s="1"/>
  <c r="NX62" i="11" s="1"/>
  <c r="OB62" i="11"/>
  <c r="RE62" i="11" s="1"/>
  <c r="PJ62" i="11"/>
  <c r="PO62" i="11"/>
  <c r="PU62" i="11"/>
  <c r="ND64" i="11"/>
  <c r="RD64" i="11" s="1"/>
  <c r="BO64" i="11"/>
  <c r="AY64" i="11"/>
  <c r="MX64" i="11"/>
  <c r="IS64" i="11"/>
  <c r="IT64" i="11" s="1"/>
  <c r="RT64" i="11"/>
  <c r="RJ64" i="11" s="1"/>
  <c r="JB64" i="11"/>
  <c r="ML64" i="11"/>
  <c r="II64" i="11"/>
  <c r="KR64" i="11"/>
  <c r="MT64" i="11"/>
  <c r="RC64" i="11" s="1"/>
  <c r="NL64" i="11"/>
  <c r="NR64" i="11"/>
  <c r="PE64" i="11"/>
  <c r="PM64" i="11"/>
  <c r="PW64" i="11"/>
  <c r="QC64" i="11"/>
  <c r="JB66" i="11"/>
  <c r="ML66" i="11"/>
  <c r="KR66" i="11"/>
  <c r="MT66" i="11"/>
  <c r="NV66" i="11"/>
  <c r="OK66" i="11"/>
  <c r="OZ66" i="11"/>
  <c r="PE66" i="11"/>
  <c r="PM66" i="11"/>
  <c r="MF68" i="11"/>
  <c r="JI68" i="11"/>
  <c r="KR68" i="11"/>
  <c r="MT68" i="11"/>
  <c r="NL68" i="11"/>
  <c r="NR68" i="11"/>
  <c r="PE68" i="11"/>
  <c r="PM68" i="11"/>
  <c r="PW68" i="11"/>
  <c r="QC68" i="11"/>
  <c r="MF70" i="11"/>
  <c r="JI70" i="11"/>
  <c r="KC70" i="11"/>
  <c r="KR70" i="11"/>
  <c r="MT70" i="11"/>
  <c r="NL70" i="11"/>
  <c r="NR70" i="11"/>
  <c r="PE70" i="11"/>
  <c r="PM70" i="11"/>
  <c r="PW70" i="11"/>
  <c r="QC70" i="11"/>
  <c r="JB72" i="11"/>
  <c r="IS72" i="11"/>
  <c r="JK72" i="11" s="1"/>
  <c r="JI72" i="11"/>
  <c r="FA72" i="11"/>
  <c r="II72" i="11"/>
  <c r="JB74" i="11"/>
  <c r="ML74" i="11"/>
  <c r="KC74" i="11"/>
  <c r="KR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FC38" i="11"/>
  <c r="AL38" i="11"/>
  <c r="AM38" i="11" s="1"/>
  <c r="AK38" i="11"/>
  <c r="AK40" i="11"/>
  <c r="AL40" i="11"/>
  <c r="IQ40" i="11"/>
  <c r="AL42" i="11"/>
  <c r="AK42" i="11"/>
  <c r="MV42" i="11"/>
  <c r="MW42" i="11" s="1"/>
  <c r="MX42" i="11" s="1"/>
  <c r="BX42" i="11"/>
  <c r="BS42" i="11"/>
  <c r="BV42" i="11" s="1"/>
  <c r="BU42" i="11"/>
  <c r="MN42" i="11"/>
  <c r="MO42" i="11" s="1"/>
  <c r="LZ42" i="11"/>
  <c r="RJ42" i="11"/>
  <c r="RE42" i="11"/>
  <c r="RC42" i="11"/>
  <c r="AK44" i="11"/>
  <c r="AL44" i="11"/>
  <c r="IQ44" i="11"/>
  <c r="LW44" i="11"/>
  <c r="RB44" i="11" s="1"/>
  <c r="RC46" i="11"/>
  <c r="AK48" i="11"/>
  <c r="AL48" i="11"/>
  <c r="IQ48" i="11"/>
  <c r="LW48" i="11"/>
  <c r="RB48" i="11" s="1"/>
  <c r="AL50" i="11"/>
  <c r="AK50" i="11"/>
  <c r="MV50" i="11"/>
  <c r="MW50" i="11" s="1"/>
  <c r="MX50" i="11" s="1"/>
  <c r="BX50" i="11"/>
  <c r="BS50" i="11"/>
  <c r="BV50" i="11" s="1"/>
  <c r="BU50" i="11"/>
  <c r="LZ52" i="11"/>
  <c r="MN52" i="11"/>
  <c r="MO52" i="11" s="1"/>
  <c r="MP52" i="11" s="1"/>
  <c r="RC52" i="11"/>
  <c r="MN54" i="11"/>
  <c r="MO54" i="11" s="1"/>
  <c r="MP54" i="11" s="1"/>
  <c r="RE54" i="11"/>
  <c r="AK56" i="11"/>
  <c r="AL56" i="11"/>
  <c r="IQ56" i="11"/>
  <c r="LW56" i="11"/>
  <c r="RB56" i="11" s="1"/>
  <c r="AL58" i="11"/>
  <c r="AK58" i="11"/>
  <c r="MV58" i="11"/>
  <c r="MW58" i="11" s="1"/>
  <c r="MX58" i="11" s="1"/>
  <c r="BX58" i="11"/>
  <c r="BS58" i="11"/>
  <c r="BV58" i="11" s="1"/>
  <c r="BU58" i="11"/>
  <c r="RJ58" i="11"/>
  <c r="AK60" i="11"/>
  <c r="AL60" i="11"/>
  <c r="MV60" i="11"/>
  <c r="MW60" i="11" s="1"/>
  <c r="MX60" i="11" s="1"/>
  <c r="BU60" i="11"/>
  <c r="BX60" i="11"/>
  <c r="BS60" i="11"/>
  <c r="BV60" i="11" s="1"/>
  <c r="JK60" i="11"/>
  <c r="IT60" i="11"/>
  <c r="MV38" i="11"/>
  <c r="MW38" i="11" s="1"/>
  <c r="MX38" i="11" s="1"/>
  <c r="BX38" i="11"/>
  <c r="BS38" i="11"/>
  <c r="BV38" i="11" s="1"/>
  <c r="BU38" i="11"/>
  <c r="MN38" i="11"/>
  <c r="MO38" i="11" s="1"/>
  <c r="MP38" i="11" s="1"/>
  <c r="LZ38" i="11"/>
  <c r="LZ40" i="11"/>
  <c r="MN40" i="11"/>
  <c r="MO40" i="11" s="1"/>
  <c r="MP40" i="11" s="1"/>
  <c r="RJ40" i="11"/>
  <c r="LW40" i="11"/>
  <c r="RB40" i="11" s="1"/>
  <c r="RC40" i="11"/>
  <c r="IT44" i="11"/>
  <c r="LZ44" i="11"/>
  <c r="MN44" i="11"/>
  <c r="MO44" i="11" s="1"/>
  <c r="MP44" i="11" s="1"/>
  <c r="RJ44" i="11"/>
  <c r="AL46" i="11"/>
  <c r="AK46" i="11"/>
  <c r="MV46" i="11"/>
  <c r="MW46" i="11" s="1"/>
  <c r="MX46" i="11" s="1"/>
  <c r="BX46" i="11"/>
  <c r="BS46" i="11"/>
  <c r="BV46" i="11" s="1"/>
  <c r="BU46" i="11"/>
  <c r="MN46" i="11"/>
  <c r="MO46" i="11" s="1"/>
  <c r="MP46" i="11" s="1"/>
  <c r="LZ46" i="11"/>
  <c r="JK48" i="11"/>
  <c r="IT48" i="11"/>
  <c r="LZ48" i="11"/>
  <c r="MN48" i="11"/>
  <c r="MO48" i="11" s="1"/>
  <c r="MP48" i="11" s="1"/>
  <c r="RC48" i="11"/>
  <c r="MN50" i="11"/>
  <c r="MO50" i="11" s="1"/>
  <c r="MP50" i="11" s="1"/>
  <c r="AK52" i="11"/>
  <c r="AL52" i="11"/>
  <c r="IQ52" i="11"/>
  <c r="LW52" i="11"/>
  <c r="AL54" i="11"/>
  <c r="AK54" i="11"/>
  <c r="MV54" i="11"/>
  <c r="MW54" i="11" s="1"/>
  <c r="MX54" i="11" s="1"/>
  <c r="BX54" i="11"/>
  <c r="BS54" i="11"/>
  <c r="BV54" i="11" s="1"/>
  <c r="BU54" i="11"/>
  <c r="RJ54" i="11"/>
  <c r="IT56" i="11"/>
  <c r="LZ56" i="11"/>
  <c r="MN56" i="11"/>
  <c r="MO56" i="11" s="1"/>
  <c r="MP56"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RE60" i="11" s="1"/>
  <c r="PJ60" i="11"/>
  <c r="PO60" i="11"/>
  <c r="PU60" i="11"/>
  <c r="PZ60" i="11"/>
  <c r="LZ62" i="11"/>
  <c r="MN62" i="11"/>
  <c r="MO62" i="11" s="1"/>
  <c r="MP62" i="11" s="1"/>
  <c r="IQ62" i="11"/>
  <c r="LW62" i="11"/>
  <c r="RB62" i="11" s="1"/>
  <c r="AL64" i="11"/>
  <c r="AK64" i="11"/>
  <c r="LW64" i="11"/>
  <c r="RB64" i="11" s="1"/>
  <c r="IQ66" i="11"/>
  <c r="LW66" i="11"/>
  <c r="RB66" i="11" s="1"/>
  <c r="RC66" i="11"/>
  <c r="MN68" i="11"/>
  <c r="MO68" i="11" s="1"/>
  <c r="MP68" i="11" s="1"/>
  <c r="LZ68" i="11"/>
  <c r="IQ68" i="11"/>
  <c r="MZ68" i="11"/>
  <c r="LW68" i="11"/>
  <c r="LZ70" i="11"/>
  <c r="MN70" i="11"/>
  <c r="MO70" i="11" s="1"/>
  <c r="MP70" i="11" s="1"/>
  <c r="IQ70" i="11"/>
  <c r="LW70"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MT60" i="11"/>
  <c r="RC60" i="11" s="1"/>
  <c r="NL60" i="11"/>
  <c r="NR60" i="11"/>
  <c r="OZ60" i="11"/>
  <c r="PE60" i="11"/>
  <c r="PM60" i="11"/>
  <c r="PW60" i="11"/>
  <c r="AK62" i="11"/>
  <c r="AL62" i="11"/>
  <c r="MN64" i="11"/>
  <c r="MO64" i="11" s="1"/>
  <c r="MP64" i="11" s="1"/>
  <c r="LZ64" i="11"/>
  <c r="IQ64" i="11"/>
  <c r="AK66" i="11"/>
  <c r="AL66" i="11"/>
  <c r="LZ66" i="11"/>
  <c r="MN66" i="11"/>
  <c r="MO66" i="11" s="1"/>
  <c r="MP66" i="11" s="1"/>
  <c r="AL68" i="11"/>
  <c r="AK68" i="11"/>
  <c r="AK70" i="11"/>
  <c r="AL70" i="11"/>
  <c r="AL72" i="11"/>
  <c r="AK72" i="11"/>
  <c r="AP62" i="11"/>
  <c r="BS62" i="11"/>
  <c r="BV62" i="11" s="1"/>
  <c r="BX62" i="11"/>
  <c r="EY62" i="11"/>
  <c r="FA62" i="11"/>
  <c r="FF62" i="11"/>
  <c r="HG62" i="11"/>
  <c r="HH62" i="11" s="1"/>
  <c r="MV62" i="11"/>
  <c r="MW62" i="11" s="1"/>
  <c r="MX62" i="11" s="1"/>
  <c r="NB62" i="11"/>
  <c r="NC62" i="11" s="1"/>
  <c r="ND62" i="11" s="1"/>
  <c r="RD62" i="11" s="1"/>
  <c r="PW62" i="11"/>
  <c r="PZ62" i="11"/>
  <c r="QC62" i="11"/>
  <c r="RR62" i="11"/>
  <c r="BU64" i="11"/>
  <c r="FH64" i="11"/>
  <c r="FI64" i="11" s="1"/>
  <c r="HH64" i="11"/>
  <c r="NF64" i="11"/>
  <c r="NG64" i="11" s="1"/>
  <c r="NH64" i="11" s="1"/>
  <c r="OK64" i="11"/>
  <c r="OM64" i="11"/>
  <c r="AP66" i="11"/>
  <c r="BS66" i="11"/>
  <c r="BV66" i="11" s="1"/>
  <c r="BX66" i="11"/>
  <c r="EY66" i="11"/>
  <c r="FA66" i="11"/>
  <c r="FF66" i="11"/>
  <c r="HE66" i="11"/>
  <c r="HG66" i="11"/>
  <c r="HH66" i="11" s="1"/>
  <c r="MV66" i="11"/>
  <c r="NB66" i="11"/>
  <c r="PU66" i="11"/>
  <c r="PW66" i="11"/>
  <c r="PZ66" i="11"/>
  <c r="QC66" i="11"/>
  <c r="RR66" i="11"/>
  <c r="BU68" i="11"/>
  <c r="FH68" i="11"/>
  <c r="FI68" i="11" s="1"/>
  <c r="HH68" i="11"/>
  <c r="NF68" i="11"/>
  <c r="OK68" i="11"/>
  <c r="OM68" i="11"/>
  <c r="AP70" i="11"/>
  <c r="BS70" i="11"/>
  <c r="BV70" i="11" s="1"/>
  <c r="BX70" i="11"/>
  <c r="EY70" i="11"/>
  <c r="FA70" i="11"/>
  <c r="FF70" i="11"/>
  <c r="HG70" i="11"/>
  <c r="HH70" i="11" s="1"/>
  <c r="MV70" i="11"/>
  <c r="NB70" i="11"/>
  <c r="RR70" i="11"/>
  <c r="RJ70" i="11" s="1"/>
  <c r="NB72" i="11"/>
  <c r="NC72" i="11" s="1"/>
  <c r="ND72" i="11" s="1"/>
  <c r="RD72" i="11" s="1"/>
  <c r="NF72" i="11"/>
  <c r="NG72" i="11" s="1"/>
  <c r="NH72" i="11" s="1"/>
  <c r="MN72" i="11"/>
  <c r="MO72" i="11" s="1"/>
  <c r="MP72" i="11" s="1"/>
  <c r="LZ72" i="11"/>
  <c r="ML72" i="11"/>
  <c r="FF72" i="11"/>
  <c r="IQ72" i="11"/>
  <c r="JQ72" i="11"/>
  <c r="KR72" i="11"/>
  <c r="KV72" i="11"/>
  <c r="LB72" i="11"/>
  <c r="NL72" i="11"/>
  <c r="NR72" i="11"/>
  <c r="OB72" i="11"/>
  <c r="OM72" i="11"/>
  <c r="PE72" i="11"/>
  <c r="AK74" i="11"/>
  <c r="AL74" i="11"/>
  <c r="IQ74" i="11"/>
  <c r="LW74" i="11"/>
  <c r="RB74" i="11" s="1"/>
  <c r="AL76" i="11"/>
  <c r="AK76" i="11"/>
  <c r="MV76" i="11"/>
  <c r="MW76" i="11" s="1"/>
  <c r="MX76" i="11" s="1"/>
  <c r="BX76" i="11"/>
  <c r="BS76" i="11"/>
  <c r="BV76" i="11" s="1"/>
  <c r="BU76" i="11"/>
  <c r="RJ76" i="1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MT72" i="11"/>
  <c r="NX72" i="11"/>
  <c r="OK72" i="11"/>
  <c r="PJ72" i="11"/>
  <c r="LZ74" i="11"/>
  <c r="MN74" i="11"/>
  <c r="MO74" i="11" s="1"/>
  <c r="MP74" i="11" s="1"/>
  <c r="FD74" i="11"/>
  <c r="RL74" i="11" s="1"/>
  <c r="FN74" i="11"/>
  <c r="RC74" i="11"/>
  <c r="JK76" i="1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GT28" i="11" s="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S26" i="11"/>
  <c r="QB26" i="11"/>
  <c r="PY26" i="11"/>
  <c r="PV26" i="11"/>
  <c r="PT26" i="11"/>
  <c r="PQ26" i="11"/>
  <c r="PR26" i="11" s="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HI26" i="13" s="1"/>
  <c r="I26" i="11"/>
  <c r="AJ26" i="11" s="1"/>
  <c r="H26" i="11"/>
  <c r="BA26" i="11" s="1"/>
  <c r="G26" i="11"/>
  <c r="AB26" i="11" s="1"/>
  <c r="F26" i="11"/>
  <c r="E26" i="11"/>
  <c r="AI26" i="11" s="1"/>
  <c r="D26" i="11"/>
  <c r="AH26" i="11" s="1"/>
  <c r="A26" i="11"/>
  <c r="B20" i="12" s="1"/>
  <c r="RW24" i="11"/>
  <c r="RK24" i="11"/>
  <c r="RH24" i="11"/>
  <c r="QX24" i="11"/>
  <c r="QW24" i="11"/>
  <c r="QU24" i="11"/>
  <c r="QT24" i="11"/>
  <c r="QS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DW24" i="13"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U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GT20" i="11" s="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X36" i="13"/>
  <c r="FF36" i="13"/>
  <c r="FC36" i="13"/>
  <c r="FB36" i="13"/>
  <c r="EO36" i="13"/>
  <c r="DW36" i="13"/>
  <c r="DU36" i="13"/>
  <c r="CL36" i="13"/>
  <c r="AL36" i="13"/>
  <c r="LX34" i="13"/>
  <c r="LL34" i="13"/>
  <c r="LF34" i="13"/>
  <c r="KZ34" i="13"/>
  <c r="KH34" i="13"/>
  <c r="KB34" i="13"/>
  <c r="JV34" i="13"/>
  <c r="JP34" i="13"/>
  <c r="JN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X32" i="13"/>
  <c r="FR32" i="13"/>
  <c r="FF32" i="13"/>
  <c r="FC32" i="13"/>
  <c r="FB32" i="13"/>
  <c r="EO32" i="13"/>
  <c r="DW32" i="13"/>
  <c r="DU32" i="13"/>
  <c r="CT32" i="13"/>
  <c r="CL32" i="13"/>
  <c r="AL32" i="13"/>
  <c r="LX30" i="13"/>
  <c r="LF30" i="13"/>
  <c r="KZ30" i="13"/>
  <c r="KB30" i="13"/>
  <c r="JV30" i="13"/>
  <c r="JP30" i="13"/>
  <c r="JN30" i="13"/>
  <c r="IG30" i="13"/>
  <c r="GK30" i="13"/>
  <c r="GI30" i="13"/>
  <c r="FF30" i="13"/>
  <c r="FC30" i="13"/>
  <c r="EO30" i="13"/>
  <c r="DW30" i="13"/>
  <c r="DU30" i="13"/>
  <c r="CZ30" i="13"/>
  <c r="CT30" i="13"/>
  <c r="CL30" i="13"/>
  <c r="AL30" i="13"/>
  <c r="LX28" i="13"/>
  <c r="LL28" i="13"/>
  <c r="LF28" i="13"/>
  <c r="KZ28" i="13"/>
  <c r="KB28" i="13"/>
  <c r="JV28" i="13"/>
  <c r="JP28" i="13"/>
  <c r="JN28" i="13"/>
  <c r="IM28" i="13"/>
  <c r="IA28" i="13"/>
  <c r="GI28" i="13"/>
  <c r="FR28" i="13"/>
  <c r="FF28" i="13"/>
  <c r="FC28" i="13"/>
  <c r="FB28" i="13"/>
  <c r="EO28" i="13"/>
  <c r="DW28" i="13"/>
  <c r="DU28" i="13"/>
  <c r="DO28" i="13"/>
  <c r="CT28" i="13"/>
  <c r="CL28" i="13"/>
  <c r="AL28" i="13"/>
  <c r="LX26" i="13"/>
  <c r="LL26" i="13"/>
  <c r="LF26" i="13"/>
  <c r="KZ26" i="13"/>
  <c r="KB26" i="13"/>
  <c r="JV26" i="13"/>
  <c r="JP26" i="13"/>
  <c r="JN26" i="13"/>
  <c r="IA26" i="13"/>
  <c r="GW26" i="13"/>
  <c r="GI26" i="13"/>
  <c r="FF26" i="13"/>
  <c r="FC26" i="13"/>
  <c r="FB26" i="13"/>
  <c r="EO26" i="13"/>
  <c r="DW26" i="13"/>
  <c r="DU26" i="13"/>
  <c r="CZ26" i="13"/>
  <c r="AL26" i="13"/>
  <c r="LL24" i="13"/>
  <c r="LF24" i="13"/>
  <c r="KB24" i="13"/>
  <c r="JV24" i="13"/>
  <c r="JP24" i="13"/>
  <c r="JN24" i="13"/>
  <c r="IM24" i="13"/>
  <c r="IG24" i="13"/>
  <c r="IA24" i="13"/>
  <c r="GW24" i="13"/>
  <c r="GK24" i="13"/>
  <c r="GI24" i="13"/>
  <c r="FF24" i="13"/>
  <c r="FC24" i="13"/>
  <c r="FB24" i="13"/>
  <c r="EO24" i="13"/>
  <c r="DU24" i="13"/>
  <c r="DO24" i="13"/>
  <c r="CZ24" i="13"/>
  <c r="CT24" i="13"/>
  <c r="AL24" i="13"/>
  <c r="LX22" i="13"/>
  <c r="LL22" i="13"/>
  <c r="LF22" i="13"/>
  <c r="KZ22" i="13"/>
  <c r="KB22" i="13"/>
  <c r="JV22" i="13"/>
  <c r="JP22" i="13"/>
  <c r="JN22" i="13"/>
  <c r="IM22" i="13"/>
  <c r="GK22" i="13"/>
  <c r="GI22" i="13"/>
  <c r="FF22" i="13"/>
  <c r="FC22" i="13"/>
  <c r="EO22" i="13"/>
  <c r="DW22" i="13"/>
  <c r="DU22" i="13"/>
  <c r="DO22" i="13"/>
  <c r="CZ22" i="13"/>
  <c r="CT22" i="13"/>
  <c r="CI22" i="13"/>
  <c r="AL22" i="13"/>
  <c r="LX20" i="13"/>
  <c r="LL20" i="13"/>
  <c r="LF20" i="13"/>
  <c r="KZ20" i="13"/>
  <c r="KB20" i="13"/>
  <c r="JV20" i="13"/>
  <c r="JP20" i="13"/>
  <c r="JN20" i="13"/>
  <c r="IM20" i="13"/>
  <c r="IA20" i="13"/>
  <c r="GK20" i="13"/>
  <c r="GI20" i="13"/>
  <c r="FF20" i="13"/>
  <c r="FC20" i="13"/>
  <c r="FB20" i="13"/>
  <c r="EO20" i="13"/>
  <c r="DW20" i="13"/>
  <c r="DU20" i="13"/>
  <c r="DO20" i="13"/>
  <c r="CZ20" i="13"/>
  <c r="CT20" i="13"/>
  <c r="CL20" i="13"/>
  <c r="AL20" i="13"/>
  <c r="LX24" i="13" l="1"/>
  <c r="IT74" i="11"/>
  <c r="JL74" i="11"/>
  <c r="JM74" i="11" s="1"/>
  <c r="GQ74" i="13"/>
  <c r="JL76" i="11"/>
  <c r="JM76" i="11" s="1"/>
  <c r="GQ76" i="13"/>
  <c r="FD76" i="11"/>
  <c r="RL76" i="11" s="1"/>
  <c r="AM74" i="11"/>
  <c r="CH74" i="13"/>
  <c r="KM74" i="11"/>
  <c r="KN74" i="11" s="1"/>
  <c r="HO74" i="13"/>
  <c r="LN74" i="11"/>
  <c r="LO74" i="11" s="1"/>
  <c r="IY74" i="13"/>
  <c r="AM76" i="11"/>
  <c r="CH76" i="13"/>
  <c r="KM76" i="11"/>
  <c r="KN76" i="11" s="1"/>
  <c r="HO76" i="13"/>
  <c r="RJ62" i="11"/>
  <c r="FN72" i="11"/>
  <c r="JK68" i="11"/>
  <c r="JL68" i="11" s="1"/>
  <c r="JM68" i="11" s="1"/>
  <c r="JK42" i="11"/>
  <c r="GE20" i="11"/>
  <c r="FR24" i="13"/>
  <c r="KZ24" i="13"/>
  <c r="RB68" i="11"/>
  <c r="DO36" i="13"/>
  <c r="IA34" i="13"/>
  <c r="GW30" i="13"/>
  <c r="FR30" i="13"/>
  <c r="IA30" i="13"/>
  <c r="FX26" i="13"/>
  <c r="GK26" i="13"/>
  <c r="IG26" i="13"/>
  <c r="IG22" i="13"/>
  <c r="IA22" i="13"/>
  <c r="FN62" i="11"/>
  <c r="FP62" i="11" s="1"/>
  <c r="RJ66" i="11"/>
  <c r="JK66" i="11"/>
  <c r="JL66" i="11" s="1"/>
  <c r="JM66" i="11" s="1"/>
  <c r="GT36" i="11"/>
  <c r="GT24" i="11"/>
  <c r="IT72" i="11"/>
  <c r="JL72" i="11"/>
  <c r="JM72" i="11" s="1"/>
  <c r="GQ72" i="13"/>
  <c r="IT70" i="11"/>
  <c r="JL60" i="11"/>
  <c r="JM60" i="11" s="1"/>
  <c r="GQ60" i="13"/>
  <c r="JK58" i="11"/>
  <c r="JL56" i="11"/>
  <c r="JM56" i="11" s="1"/>
  <c r="GQ56" i="13"/>
  <c r="JL54" i="11"/>
  <c r="JM54" i="11" s="1"/>
  <c r="GQ54" i="13"/>
  <c r="JK50" i="11"/>
  <c r="JL48" i="11"/>
  <c r="JM48" i="11" s="1"/>
  <c r="GQ48" i="13"/>
  <c r="JL44" i="11"/>
  <c r="JM44" i="11" s="1"/>
  <c r="GQ44" i="13"/>
  <c r="JL42" i="11"/>
  <c r="JM42" i="11" s="1"/>
  <c r="GQ42" i="13"/>
  <c r="JK40" i="11"/>
  <c r="GT34" i="11"/>
  <c r="GT32" i="11"/>
  <c r="GT30" i="11"/>
  <c r="GT26" i="11"/>
  <c r="GT22" i="11"/>
  <c r="JL52" i="11"/>
  <c r="JM52" i="11" s="1"/>
  <c r="GQ52" i="13"/>
  <c r="IT52" i="11"/>
  <c r="JK46" i="11"/>
  <c r="JL70" i="11"/>
  <c r="JM70" i="11" s="1"/>
  <c r="GQ70" i="13"/>
  <c r="JL62" i="11"/>
  <c r="JM62" i="11" s="1"/>
  <c r="GQ62" i="13"/>
  <c r="IT62" i="11"/>
  <c r="JK38" i="11"/>
  <c r="JL38" i="11" s="1"/>
  <c r="JM38" i="11" s="1"/>
  <c r="KQ46" i="11"/>
  <c r="KR46" i="11" s="1"/>
  <c r="HU46" i="13"/>
  <c r="KQ44" i="11"/>
  <c r="KR44" i="11" s="1"/>
  <c r="HU44" i="13"/>
  <c r="KQ42" i="11"/>
  <c r="KR42" i="11" s="1"/>
  <c r="HU42" i="13"/>
  <c r="KQ40" i="11"/>
  <c r="KR40" i="11" s="1"/>
  <c r="HU40" i="13"/>
  <c r="KQ52" i="11"/>
  <c r="KR52" i="11" s="1"/>
  <c r="HU52" i="13"/>
  <c r="FD54" i="11"/>
  <c r="RL54" i="11" s="1"/>
  <c r="KQ56" i="11"/>
  <c r="KR56" i="11" s="1"/>
  <c r="HU56" i="13"/>
  <c r="KQ58" i="11"/>
  <c r="KR58" i="11" s="1"/>
  <c r="HU58" i="13"/>
  <c r="KQ60" i="11"/>
  <c r="KR60" i="11" s="1"/>
  <c r="HU60" i="13"/>
  <c r="LN72" i="11"/>
  <c r="LO72" i="11" s="1"/>
  <c r="IY72" i="13"/>
  <c r="KM72" i="11"/>
  <c r="KN72" i="11" s="1"/>
  <c r="HO72" i="13"/>
  <c r="AM72" i="11"/>
  <c r="O66" i="12" s="1"/>
  <c r="P66" i="12" s="1"/>
  <c r="CH72" i="13"/>
  <c r="LH72" i="11"/>
  <c r="LI72" i="11" s="1"/>
  <c r="IS72" i="13"/>
  <c r="RE70" i="11"/>
  <c r="RC70" i="11"/>
  <c r="NC70" i="11"/>
  <c r="ND70" i="11" s="1"/>
  <c r="RD70" i="11" s="1"/>
  <c r="KN70" i="13"/>
  <c r="NW70" i="11"/>
  <c r="NX70" i="11" s="1"/>
  <c r="LR70" i="13"/>
  <c r="MW70" i="11"/>
  <c r="MX70" i="11" s="1"/>
  <c r="KH70" i="13"/>
  <c r="RB70" i="11"/>
  <c r="AM70" i="11"/>
  <c r="BB70" i="11" s="1"/>
  <c r="CH70" i="13"/>
  <c r="KM70" i="11"/>
  <c r="KN70" i="11" s="1"/>
  <c r="HO70" i="13"/>
  <c r="FN70" i="11"/>
  <c r="GU70" i="11" s="1"/>
  <c r="NG68" i="11"/>
  <c r="NH68" i="11" s="1"/>
  <c r="KT68" i="13"/>
  <c r="NW68" i="11"/>
  <c r="NX68" i="11" s="1"/>
  <c r="LR68" i="13"/>
  <c r="AM68" i="11"/>
  <c r="QL68" i="11" s="1"/>
  <c r="QM68" i="11" s="1"/>
  <c r="CH68" i="13"/>
  <c r="KM68" i="11"/>
  <c r="KN68" i="11" s="1"/>
  <c r="HO68" i="13"/>
  <c r="FN68" i="11"/>
  <c r="FO68" i="11" s="1"/>
  <c r="NW66" i="11"/>
  <c r="NX66" i="11" s="1"/>
  <c r="LR66" i="13"/>
  <c r="NC66" i="11"/>
  <c r="ND66" i="11" s="1"/>
  <c r="RD66" i="11" s="1"/>
  <c r="KN66" i="13"/>
  <c r="MW66" i="11"/>
  <c r="MX66" i="11" s="1"/>
  <c r="KH66" i="13"/>
  <c r="KM66" i="11"/>
  <c r="KN66" i="11" s="1"/>
  <c r="HO66" i="13"/>
  <c r="AM66" i="11"/>
  <c r="EZ66" i="11" s="1"/>
  <c r="FC66" i="11" s="1"/>
  <c r="FN66" i="11" s="1"/>
  <c r="GL66" i="11" s="1"/>
  <c r="GM66" i="11" s="1"/>
  <c r="CH66" i="13"/>
  <c r="LN64" i="11"/>
  <c r="LO64" i="11" s="1"/>
  <c r="IY64" i="13"/>
  <c r="AM64" i="11"/>
  <c r="AN64" i="11" s="1"/>
  <c r="AU64" i="11" s="1"/>
  <c r="CH64" i="13"/>
  <c r="KM64" i="11"/>
  <c r="KN64" i="11" s="1"/>
  <c r="HO64" i="13"/>
  <c r="AM62" i="11"/>
  <c r="CH62" i="13"/>
  <c r="KM62" i="11"/>
  <c r="KN62" i="11" s="1"/>
  <c r="HO62" i="13"/>
  <c r="LN58" i="11"/>
  <c r="LO58" i="11" s="1"/>
  <c r="IY58" i="13"/>
  <c r="AM58" i="11"/>
  <c r="O52" i="12" s="1"/>
  <c r="P52" i="12" s="1"/>
  <c r="CH58" i="13"/>
  <c r="LH58" i="11"/>
  <c r="LI58" i="11" s="1"/>
  <c r="IS58" i="13"/>
  <c r="KM58" i="11"/>
  <c r="KN58" i="11" s="1"/>
  <c r="HO58" i="13"/>
  <c r="FD58" i="11"/>
  <c r="RL58" i="11" s="1"/>
  <c r="AM56" i="11"/>
  <c r="DH56" i="11" s="1"/>
  <c r="DI56" i="11" s="1"/>
  <c r="CH56" i="13"/>
  <c r="LN56" i="11"/>
  <c r="LO56" i="11" s="1"/>
  <c r="IY56" i="13"/>
  <c r="KM56" i="11"/>
  <c r="KN56" i="11" s="1"/>
  <c r="HO56" i="13"/>
  <c r="LH56" i="11"/>
  <c r="LI56" i="11" s="1"/>
  <c r="IS56" i="13"/>
  <c r="LN54" i="11"/>
  <c r="LO54" i="11" s="1"/>
  <c r="IY54" i="13"/>
  <c r="LH54" i="11"/>
  <c r="LI54" i="11" s="1"/>
  <c r="IS54" i="13"/>
  <c r="AM54" i="11"/>
  <c r="O48" i="12" s="1"/>
  <c r="P48" i="12" s="1"/>
  <c r="CH54" i="13"/>
  <c r="KM54" i="11"/>
  <c r="KN54" i="11" s="1"/>
  <c r="HO54" i="13"/>
  <c r="AM52" i="11"/>
  <c r="DH52" i="11" s="1"/>
  <c r="DI52" i="11" s="1"/>
  <c r="CH52" i="13"/>
  <c r="KM52" i="11"/>
  <c r="KN52" i="11" s="1"/>
  <c r="HO52" i="13"/>
  <c r="AM50" i="11"/>
  <c r="O44" i="12" s="1"/>
  <c r="P44" i="12" s="1"/>
  <c r="CH50" i="13"/>
  <c r="KM50" i="11"/>
  <c r="KN50" i="11" s="1"/>
  <c r="HO50" i="13"/>
  <c r="LH50" i="11"/>
  <c r="LI50" i="11" s="1"/>
  <c r="IS50" i="13"/>
  <c r="LN50" i="11"/>
  <c r="LO50" i="11" s="1"/>
  <c r="IY50" i="13"/>
  <c r="LN48" i="11"/>
  <c r="LO48" i="11" s="1"/>
  <c r="IY48" i="13"/>
  <c r="KM48" i="11"/>
  <c r="KN48" i="11" s="1"/>
  <c r="HO48" i="13"/>
  <c r="AM48" i="11"/>
  <c r="CH48" i="13"/>
  <c r="AM46" i="11"/>
  <c r="BB46" i="11" s="1"/>
  <c r="CH46" i="13"/>
  <c r="KM46" i="11"/>
  <c r="KN46" i="11" s="1"/>
  <c r="HO46" i="13"/>
  <c r="FD46" i="11"/>
  <c r="RL46" i="11" s="1"/>
  <c r="LN44" i="11"/>
  <c r="LO44" i="11" s="1"/>
  <c r="IY44" i="13"/>
  <c r="LH44" i="11"/>
  <c r="LI44" i="11" s="1"/>
  <c r="IS44" i="13"/>
  <c r="AM44" i="11"/>
  <c r="DS44" i="11" s="1"/>
  <c r="DT44" i="11" s="1"/>
  <c r="CH44" i="13"/>
  <c r="KM44" i="11"/>
  <c r="KN44" i="11" s="1"/>
  <c r="HO44" i="13"/>
  <c r="AM42" i="11"/>
  <c r="O36" i="12" s="1"/>
  <c r="P36" i="12" s="1"/>
  <c r="CH42" i="13"/>
  <c r="LN42" i="11"/>
  <c r="LO42" i="11" s="1"/>
  <c r="IY42" i="13"/>
  <c r="LH42" i="11"/>
  <c r="LI42" i="11" s="1"/>
  <c r="IS42" i="13"/>
  <c r="FD42" i="11"/>
  <c r="RL42" i="11" s="1"/>
  <c r="KM42" i="11"/>
  <c r="KN42" i="11" s="1"/>
  <c r="HO42" i="13"/>
  <c r="LH40" i="11"/>
  <c r="LI40" i="11" s="1"/>
  <c r="IS40" i="13"/>
  <c r="KM40" i="11"/>
  <c r="KN40" i="11" s="1"/>
  <c r="HO40" i="13"/>
  <c r="AM40" i="11"/>
  <c r="DH40" i="11" s="1"/>
  <c r="DI40" i="11" s="1"/>
  <c r="CH40" i="13"/>
  <c r="LN40" i="11"/>
  <c r="LO40" i="11" s="1"/>
  <c r="IY40" i="13"/>
  <c r="FN40" i="11"/>
  <c r="FO40" i="11" s="1"/>
  <c r="RC38" i="11"/>
  <c r="O32" i="12"/>
  <c r="P32" i="12" s="1"/>
  <c r="LD38" i="11"/>
  <c r="LF38" i="11"/>
  <c r="L30" i="12"/>
  <c r="M30" i="12" s="1"/>
  <c r="GE36" i="11"/>
  <c r="CT36" i="13"/>
  <c r="GK36" i="13"/>
  <c r="CZ36" i="13"/>
  <c r="FR36" i="13"/>
  <c r="GW36" i="13"/>
  <c r="L28" i="12"/>
  <c r="M28" i="12" s="1"/>
  <c r="GE34" i="11"/>
  <c r="IG34" i="13"/>
  <c r="GK34" i="13"/>
  <c r="IM34" i="13"/>
  <c r="CZ34" i="13"/>
  <c r="GW34" i="13"/>
  <c r="L26" i="12"/>
  <c r="M26" i="12" s="1"/>
  <c r="GE32" i="11"/>
  <c r="PR32" i="11"/>
  <c r="GK32" i="13"/>
  <c r="GW32" i="13"/>
  <c r="DO32" i="13"/>
  <c r="DO30" i="13"/>
  <c r="IM30" i="13"/>
  <c r="L22" i="12"/>
  <c r="M22" i="12" s="1"/>
  <c r="GE28" i="11"/>
  <c r="GW28" i="13"/>
  <c r="CZ28" i="13"/>
  <c r="IG28" i="13"/>
  <c r="L20" i="12"/>
  <c r="M20" i="12" s="1"/>
  <c r="GE26" i="11"/>
  <c r="DO26" i="13"/>
  <c r="IM26" i="13"/>
  <c r="L18" i="12"/>
  <c r="M18" i="12" s="1"/>
  <c r="GE24" i="11"/>
  <c r="FX24" i="13"/>
  <c r="CI24" i="13"/>
  <c r="L16" i="12"/>
  <c r="M16" i="12" s="1"/>
  <c r="GE22" i="11"/>
  <c r="GW22" i="13"/>
  <c r="GW20" i="13"/>
  <c r="FX20" i="13"/>
  <c r="IG20" i="13"/>
  <c r="LN60" i="11"/>
  <c r="LO60" i="11" s="1"/>
  <c r="IY60" i="13"/>
  <c r="AM60" i="11"/>
  <c r="JS60" i="11" s="1"/>
  <c r="CH60" i="13"/>
  <c r="KM60" i="11"/>
  <c r="KN60" i="11" s="1"/>
  <c r="HO60" i="13"/>
  <c r="FB30" i="13"/>
  <c r="FX30" i="13"/>
  <c r="L24" i="12"/>
  <c r="M24" i="12" s="1"/>
  <c r="GE30" i="11"/>
  <c r="JG26" i="11"/>
  <c r="JH26" i="11" s="1"/>
  <c r="JI26" i="11" s="1"/>
  <c r="DA26" i="11"/>
  <c r="JF26" i="11"/>
  <c r="DD26" i="11"/>
  <c r="JG28" i="11"/>
  <c r="JH28" i="11" s="1"/>
  <c r="DA28" i="11"/>
  <c r="JF28" i="11"/>
  <c r="DD28" i="11"/>
  <c r="JG32" i="11"/>
  <c r="JH32" i="11" s="1"/>
  <c r="JI32" i="11" s="1"/>
  <c r="DA32" i="11"/>
  <c r="JF32" i="11"/>
  <c r="DD32" i="11"/>
  <c r="JG34" i="11"/>
  <c r="JH34" i="11" s="1"/>
  <c r="JI34" i="11" s="1"/>
  <c r="DA34" i="11"/>
  <c r="JF34" i="11"/>
  <c r="DD34" i="11"/>
  <c r="JG36" i="11"/>
  <c r="JH36" i="11" s="1"/>
  <c r="JI36" i="11" s="1"/>
  <c r="DA36" i="11"/>
  <c r="JF36" i="11"/>
  <c r="DD36" i="11"/>
  <c r="JG20" i="11"/>
  <c r="JH20" i="11" s="1"/>
  <c r="DA20" i="11"/>
  <c r="JF20" i="11"/>
  <c r="DD20" i="11"/>
  <c r="JG22" i="11"/>
  <c r="JH22" i="11" s="1"/>
  <c r="DA22" i="11"/>
  <c r="JF22" i="11"/>
  <c r="DD22" i="11"/>
  <c r="JG24" i="11"/>
  <c r="JH24" i="11" s="1"/>
  <c r="JI24" i="11" s="1"/>
  <c r="DA24" i="11"/>
  <c r="JF24" i="11"/>
  <c r="DD24" i="11"/>
  <c r="JG30" i="11"/>
  <c r="JH30" i="11" s="1"/>
  <c r="JI30" i="11" s="1"/>
  <c r="DA30" i="11"/>
  <c r="JF30" i="11"/>
  <c r="DD30" i="11"/>
  <c r="DH96" i="11"/>
  <c r="DI96" i="11" s="1"/>
  <c r="MZ88" i="11"/>
  <c r="FN100" i="11"/>
  <c r="FO100" i="11" s="1"/>
  <c r="FD88" i="11"/>
  <c r="RL88" i="11" s="1"/>
  <c r="JK64" i="1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CS24" i="11"/>
  <c r="IZ30" i="11"/>
  <c r="JA30" i="11" s="1"/>
  <c r="JB30" i="11" s="1"/>
  <c r="CS30" i="11"/>
  <c r="IY30" i="11"/>
  <c r="CV30" i="11"/>
  <c r="IZ22" i="11"/>
  <c r="JA22" i="11" s="1"/>
  <c r="JB22" i="11" s="1"/>
  <c r="CS22" i="11"/>
  <c r="IY24" i="11"/>
  <c r="CV24" i="11"/>
  <c r="CI30" i="13"/>
  <c r="FM22" i="11"/>
  <c r="FM24" i="11"/>
  <c r="FF26" i="11"/>
  <c r="FG26" i="11" s="1"/>
  <c r="RT26" i="11"/>
  <c r="IZ26" i="11"/>
  <c r="JA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JB36" i="11" s="1"/>
  <c r="CS36" i="11"/>
  <c r="IY36" i="11"/>
  <c r="CV36" i="11"/>
  <c r="BB98" i="11"/>
  <c r="BC98" i="11" s="1"/>
  <c r="DS96" i="11"/>
  <c r="DV94" i="11"/>
  <c r="BB92" i="11"/>
  <c r="BC92" i="11" s="1"/>
  <c r="FM30" i="11"/>
  <c r="FM20"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DW62" i="11" s="1"/>
  <c r="O56" i="12"/>
  <c r="P56" i="12" s="1"/>
  <c r="FP58" i="11"/>
  <c r="FG58" i="11"/>
  <c r="FG50" i="11"/>
  <c r="FP42" i="11"/>
  <c r="FG42" i="11"/>
  <c r="FG38" i="11"/>
  <c r="GU72" i="11"/>
  <c r="FO72" i="11"/>
  <c r="FG60" i="11"/>
  <c r="FG52" i="11"/>
  <c r="FG44" i="11"/>
  <c r="O50" i="12"/>
  <c r="P50" i="12" s="1"/>
  <c r="DS48" i="11"/>
  <c r="DT48" i="11" s="1"/>
  <c r="DH44" i="11"/>
  <c r="DI44" i="11" s="1"/>
  <c r="O38" i="12"/>
  <c r="P38" i="12" s="1"/>
  <c r="GU88" i="11"/>
  <c r="FO88"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G68" i="11"/>
  <c r="FG64" i="11"/>
  <c r="GU82" i="11"/>
  <c r="FO82" i="11"/>
  <c r="GU78" i="11"/>
  <c r="FO78" i="11"/>
  <c r="FP72" i="11"/>
  <c r="FG72" i="11"/>
  <c r="FG70" i="11"/>
  <c r="FG66" i="11"/>
  <c r="FG62" i="11"/>
  <c r="O64" i="12"/>
  <c r="P64" i="12" s="1"/>
  <c r="FP54" i="11"/>
  <c r="FG54" i="11"/>
  <c r="FP46" i="11"/>
  <c r="FG46" i="11"/>
  <c r="DS38" i="11"/>
  <c r="DT38" i="11" s="1"/>
  <c r="FG56" i="11"/>
  <c r="FG48" i="11"/>
  <c r="FG40" i="11"/>
  <c r="FN56" i="11"/>
  <c r="GL56" i="11" s="1"/>
  <c r="GU92" i="11"/>
  <c r="FO92" i="11"/>
  <c r="RC84" i="11"/>
  <c r="GU98" i="11"/>
  <c r="FO98" i="11"/>
  <c r="RE72" i="11"/>
  <c r="RC68" i="11"/>
  <c r="GU58" i="11"/>
  <c r="FO58" i="11"/>
  <c r="RC44" i="11"/>
  <c r="GU46" i="11"/>
  <c r="FO46" i="11"/>
  <c r="GU42" i="11"/>
  <c r="FO42" i="11"/>
  <c r="DS88" i="11"/>
  <c r="DH88" i="11"/>
  <c r="DI88" i="11" s="1"/>
  <c r="DV60" i="11"/>
  <c r="DW60" i="11" s="1"/>
  <c r="MP42" i="11"/>
  <c r="MZ42" i="11"/>
  <c r="IT88" i="11"/>
  <c r="JK88" i="11"/>
  <c r="JL88" i="11" s="1"/>
  <c r="JM88" i="11" s="1"/>
  <c r="RE86" i="11"/>
  <c r="RC50" i="11"/>
  <c r="BX32" i="11"/>
  <c r="DV84" i="11"/>
  <c r="DS84" i="11"/>
  <c r="DS68" i="11"/>
  <c r="DV38" i="11"/>
  <c r="DH38" i="11"/>
  <c r="DI38" i="11" s="1"/>
  <c r="RJ90" i="11"/>
  <c r="RB86" i="11"/>
  <c r="RB84" i="11"/>
  <c r="RB72" i="11"/>
  <c r="RC72" i="11"/>
  <c r="BB72" i="11"/>
  <c r="RB50" i="11"/>
  <c r="RB52" i="11"/>
  <c r="FN44" i="11"/>
  <c r="IT54" i="11"/>
  <c r="FN52" i="11"/>
  <c r="GL52" i="11" s="1"/>
  <c r="GM52" i="11" s="1"/>
  <c r="FN50" i="11"/>
  <c r="GL50" i="11" s="1"/>
  <c r="DH84" i="11"/>
  <c r="DI84" i="11" s="1"/>
  <c r="DS56" i="11"/>
  <c r="MZ38" i="11"/>
  <c r="RE68" i="11"/>
  <c r="RE50" i="11"/>
  <c r="DH80" i="11"/>
  <c r="DI80" i="11" s="1"/>
  <c r="BB88" i="11"/>
  <c r="BC88" i="11" s="1"/>
  <c r="EH88" i="11" s="1"/>
  <c r="EI88" i="11" s="1"/>
  <c r="RE80" i="11"/>
  <c r="DV48" i="11"/>
  <c r="DW48" i="11" s="1"/>
  <c r="DH48" i="11"/>
  <c r="DI48" i="11" s="1"/>
  <c r="BB44" i="11"/>
  <c r="DV44" i="11"/>
  <c r="DW44" i="11" s="1"/>
  <c r="DV40" i="11"/>
  <c r="RE52" i="11"/>
  <c r="RE44" i="11"/>
  <c r="RE38" i="11"/>
  <c r="RE46" i="11"/>
  <c r="IS20" i="11"/>
  <c r="IT20" i="11" s="1"/>
  <c r="RT20" i="11"/>
  <c r="IS22" i="11"/>
  <c r="IT22" i="11" s="1"/>
  <c r="RT22" i="11"/>
  <c r="IS24" i="11"/>
  <c r="IT24" i="11" s="1"/>
  <c r="RT24" i="11"/>
  <c r="RJ24" i="11" s="1"/>
  <c r="BB94" i="11"/>
  <c r="BC94" i="11" s="1"/>
  <c r="BD94" i="11" s="1"/>
  <c r="BH94" i="11" s="1"/>
  <c r="BL94" i="11" s="1"/>
  <c r="BB82" i="11"/>
  <c r="BC82" i="11" s="1"/>
  <c r="DS82" i="11"/>
  <c r="DV72" i="11"/>
  <c r="DH72" i="11"/>
  <c r="DI72" i="11" s="1"/>
  <c r="FD38" i="11"/>
  <c r="RL38" i="11" s="1"/>
  <c r="FN38" i="11"/>
  <c r="GL38" i="11" s="1"/>
  <c r="GM38" i="11" s="1"/>
  <c r="BB86" i="11"/>
  <c r="BC86" i="11" s="1"/>
  <c r="BB76" i="11"/>
  <c r="BB74" i="11"/>
  <c r="BB66" i="11"/>
  <c r="RB46" i="11"/>
  <c r="RB38" i="11"/>
  <c r="BB42" i="11"/>
  <c r="KQ100" i="11"/>
  <c r="KR100" i="11" s="1"/>
  <c r="HU100" i="13"/>
  <c r="RJ94" i="11"/>
  <c r="DV90" i="11"/>
  <c r="DS94" i="11"/>
  <c r="DT94" i="11" s="1"/>
  <c r="MZ84" i="11"/>
  <c r="BB84" i="11"/>
  <c r="BC84" i="11" s="1"/>
  <c r="EE84" i="11" s="1"/>
  <c r="EF84" i="11" s="1"/>
  <c r="BB78" i="11"/>
  <c r="BC78"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38" i="11"/>
  <c r="BC38" i="11" s="1"/>
  <c r="DW92" i="11"/>
  <c r="EH82" i="11"/>
  <c r="EI82" i="11" s="1"/>
  <c r="EE82" i="11"/>
  <c r="EF82" i="11" s="1"/>
  <c r="BD82" i="11"/>
  <c r="BH82" i="11" s="1"/>
  <c r="BL82" i="11" s="1"/>
  <c r="BG82" i="11"/>
  <c r="BK82" i="11" s="1"/>
  <c r="EH78" i="11"/>
  <c r="EI78" i="11" s="1"/>
  <c r="EE78" i="11"/>
  <c r="EF78" i="11" s="1"/>
  <c r="BD78" i="11"/>
  <c r="BH78" i="11" s="1"/>
  <c r="BL78" i="11" s="1"/>
  <c r="BG78" i="11"/>
  <c r="BK78" i="11" s="1"/>
  <c r="DW98" i="11"/>
  <c r="BG96" i="11"/>
  <c r="BK96" i="11" s="1"/>
  <c r="EH96" i="11"/>
  <c r="EI96" i="11" s="1"/>
  <c r="EE96" i="11"/>
  <c r="EF96" i="11" s="1"/>
  <c r="BD96" i="11"/>
  <c r="BH96" i="11" s="1"/>
  <c r="BL96" i="11" s="1"/>
  <c r="EE94" i="11"/>
  <c r="EF94" i="11" s="1"/>
  <c r="EH94" i="11"/>
  <c r="EI94"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MZ72" i="11"/>
  <c r="ER68" i="11"/>
  <c r="EO68" i="11"/>
  <c r="EL68" i="11"/>
  <c r="EM68" i="11" s="1"/>
  <c r="RI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AT74" i="11"/>
  <c r="LQ74" i="11"/>
  <c r="AN74" i="11"/>
  <c r="AU74" i="11" s="1"/>
  <c r="RI72" i="11"/>
  <c r="RM72" i="11" s="1"/>
  <c r="RP72" i="11"/>
  <c r="RX72" i="11" s="1"/>
  <c r="GL72" i="11"/>
  <c r="RP70" i="11"/>
  <c r="RX70" i="11" s="1"/>
  <c r="RI70" i="11"/>
  <c r="RM70" i="11" s="1"/>
  <c r="RP66" i="11"/>
  <c r="RX66" i="11" s="1"/>
  <c r="RI66" i="11"/>
  <c r="DH66" i="11"/>
  <c r="DI66" i="11" s="1"/>
  <c r="RP62" i="11"/>
  <c r="RX62" i="11" s="1"/>
  <c r="RI62" i="11"/>
  <c r="RM62" i="11" s="1"/>
  <c r="DH62" i="11"/>
  <c r="DI62" i="11" s="1"/>
  <c r="LQ68" i="11"/>
  <c r="QJ68" i="11"/>
  <c r="QK68" i="11" s="1"/>
  <c r="QH68" i="11"/>
  <c r="QI68" i="11" s="1"/>
  <c r="BB62" i="11"/>
  <c r="RI38" i="11"/>
  <c r="RP38" i="11"/>
  <c r="RX38" i="11" s="1"/>
  <c r="MZ64" i="11"/>
  <c r="QH64" i="11"/>
  <c r="QI64" i="11" s="1"/>
  <c r="MZ62" i="11"/>
  <c r="MZ60" i="11"/>
  <c r="DT56" i="11"/>
  <c r="ER56" i="11"/>
  <c r="EO56" i="11"/>
  <c r="EL56" i="11"/>
  <c r="EM56" i="11" s="1"/>
  <c r="RP52" i="11"/>
  <c r="RX52" i="11" s="1"/>
  <c r="RI52" i="11"/>
  <c r="RM52" i="11" s="1"/>
  <c r="ER48" i="11"/>
  <c r="EO48" i="11"/>
  <c r="EL48" i="11"/>
  <c r="EM48" i="11" s="1"/>
  <c r="ER44" i="11"/>
  <c r="EO44" i="11"/>
  <c r="EL44" i="11"/>
  <c r="EM44" i="11" s="1"/>
  <c r="ER40" i="11"/>
  <c r="EO40" i="11"/>
  <c r="EL40" i="11"/>
  <c r="EM40" i="11" s="1"/>
  <c r="MZ54" i="11"/>
  <c r="ER54" i="11"/>
  <c r="EO54" i="11"/>
  <c r="EL54" i="11"/>
  <c r="EM54" i="11" s="1"/>
  <c r="MZ52" i="11"/>
  <c r="QN52" i="11"/>
  <c r="QO52" i="11" s="1"/>
  <c r="QL52" i="11"/>
  <c r="QM52" i="11" s="1"/>
  <c r="QE52" i="11"/>
  <c r="QF52" i="11" s="1"/>
  <c r="JS52" i="11"/>
  <c r="AT52" i="11"/>
  <c r="MZ46" i="11"/>
  <c r="ER46" i="11"/>
  <c r="EO46" i="11"/>
  <c r="EL46" i="11"/>
  <c r="EM46" i="11" s="1"/>
  <c r="DW40" i="11"/>
  <c r="ER38" i="11"/>
  <c r="EO38" i="11"/>
  <c r="EL38" i="11"/>
  <c r="EM38" i="11" s="1"/>
  <c r="ER58" i="11"/>
  <c r="EO58" i="11"/>
  <c r="EL58" i="11"/>
  <c r="EM58" i="11" s="1"/>
  <c r="MZ56" i="11"/>
  <c r="QJ56" i="11"/>
  <c r="QK56" i="11" s="1"/>
  <c r="QH56" i="11"/>
  <c r="QI56" i="11" s="1"/>
  <c r="LQ56" i="11"/>
  <c r="MZ50" i="11"/>
  <c r="ER50" i="11"/>
  <c r="EO50" i="11"/>
  <c r="EL50" i="11"/>
  <c r="EM50" i="11" s="1"/>
  <c r="MZ48" i="11"/>
  <c r="QL48" i="11"/>
  <c r="QM48" i="11" s="1"/>
  <c r="QJ48" i="11"/>
  <c r="QK48" i="11" s="1"/>
  <c r="QH48" i="11"/>
  <c r="QI48" i="11" s="1"/>
  <c r="JS48" i="11"/>
  <c r="AT48" i="11"/>
  <c r="LQ48" i="11"/>
  <c r="LQ42" i="11"/>
  <c r="DV42" i="11"/>
  <c r="DS42" i="11"/>
  <c r="DH42" i="11"/>
  <c r="DI42" i="11" s="1"/>
  <c r="AN42" i="11"/>
  <c r="AU42" i="11" s="1"/>
  <c r="QN42" i="11"/>
  <c r="QO42" i="11" s="1"/>
  <c r="QL42" i="11"/>
  <c r="QM42" i="11" s="1"/>
  <c r="QJ42" i="11"/>
  <c r="QK42" i="11" s="1"/>
  <c r="QH42" i="11"/>
  <c r="QI42" i="11" s="1"/>
  <c r="QE42" i="11"/>
  <c r="QF42" i="11" s="1"/>
  <c r="JS42" i="11"/>
  <c r="AT42" i="11"/>
  <c r="DW38" i="11"/>
  <c r="EH38" i="11"/>
  <c r="EI38" i="11" s="1"/>
  <c r="LQ38" i="11"/>
  <c r="LR38" i="11" s="1"/>
  <c r="LS38" i="11" s="1"/>
  <c r="AN38" i="1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GL76" i="11"/>
  <c r="GM76" i="11" s="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GM74" i="11" s="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RP68" i="11"/>
  <c r="RX68" i="11" s="1"/>
  <c r="ER64" i="11"/>
  <c r="EO64" i="11"/>
  <c r="EL64" i="11"/>
  <c r="EM64" i="11" s="1"/>
  <c r="MZ82" i="11"/>
  <c r="DV82" i="11"/>
  <c r="DV78" i="11"/>
  <c r="LQ76" i="11"/>
  <c r="DV76" i="11"/>
  <c r="DS76" i="11"/>
  <c r="DH76" i="11"/>
  <c r="DI76" i="11" s="1"/>
  <c r="AN76" i="11"/>
  <c r="QN76" i="11"/>
  <c r="QO76" i="11" s="1"/>
  <c r="QL76" i="11"/>
  <c r="QM76" i="11" s="1"/>
  <c r="QJ76" i="11"/>
  <c r="QK76" i="11" s="1"/>
  <c r="QH76" i="11"/>
  <c r="QI76" i="11" s="1"/>
  <c r="QE76" i="11"/>
  <c r="QF76" i="11" s="1"/>
  <c r="JS76" i="11"/>
  <c r="AT76" i="11"/>
  <c r="DW72" i="11"/>
  <c r="ER70" i="11"/>
  <c r="EO70" i="11"/>
  <c r="EL70" i="11"/>
  <c r="EM70" i="11" s="1"/>
  <c r="ER66" i="11"/>
  <c r="EO66" i="11"/>
  <c r="EL66" i="11"/>
  <c r="EM66" i="11" s="1"/>
  <c r="ER62" i="11"/>
  <c r="EO62" i="11"/>
  <c r="EL62" i="11"/>
  <c r="EM62" i="11" s="1"/>
  <c r="LQ72" i="11"/>
  <c r="QN72" i="11"/>
  <c r="QO72" i="11" s="1"/>
  <c r="QL72" i="11"/>
  <c r="QM72" i="11" s="1"/>
  <c r="QJ72" i="11"/>
  <c r="QK72" i="11" s="1"/>
  <c r="QH72" i="11"/>
  <c r="QI72" i="11" s="1"/>
  <c r="QE72" i="11"/>
  <c r="QF72" i="11" s="1"/>
  <c r="JS72" i="11"/>
  <c r="AN72" i="11"/>
  <c r="AU72" i="11" s="1"/>
  <c r="AT72" i="11"/>
  <c r="QN70" i="11"/>
  <c r="QO70" i="11" s="1"/>
  <c r="QE70" i="11"/>
  <c r="QF70" i="11" s="1"/>
  <c r="AN70" i="11"/>
  <c r="QN66" i="11"/>
  <c r="QO66" i="11" s="1"/>
  <c r="QL66" i="11"/>
  <c r="QM66" i="11" s="1"/>
  <c r="QJ66" i="11"/>
  <c r="QK66" i="11" s="1"/>
  <c r="QH66" i="11"/>
  <c r="QI66" i="11" s="1"/>
  <c r="QE66" i="11"/>
  <c r="QF66" i="11" s="1"/>
  <c r="JS66" i="11"/>
  <c r="AT66" i="11"/>
  <c r="LQ66" i="11"/>
  <c r="AN66" i="11"/>
  <c r="QN62" i="11"/>
  <c r="QO62" i="11" s="1"/>
  <c r="QL62" i="11"/>
  <c r="QM62" i="11" s="1"/>
  <c r="QJ62" i="11"/>
  <c r="QK62" i="11" s="1"/>
  <c r="QH62" i="11"/>
  <c r="QI62" i="11" s="1"/>
  <c r="QE62" i="11"/>
  <c r="QF62" i="11" s="1"/>
  <c r="JS62" i="11"/>
  <c r="AT62" i="11"/>
  <c r="LQ62" i="11"/>
  <c r="AN62" i="11"/>
  <c r="QU62" i="11" s="1"/>
  <c r="RI58" i="11"/>
  <c r="RM58" i="11" s="1"/>
  <c r="GL58" i="11"/>
  <c r="RP58" i="11"/>
  <c r="RX58" i="11" s="1"/>
  <c r="RI54" i="11"/>
  <c r="GL54" i="11"/>
  <c r="RP54" i="11"/>
  <c r="RX54" i="11" s="1"/>
  <c r="RI50" i="11"/>
  <c r="RM50" i="11" s="1"/>
  <c r="RP50" i="11"/>
  <c r="RX50" i="11" s="1"/>
  <c r="RI46" i="11"/>
  <c r="GL46" i="11"/>
  <c r="GM46" i="11" s="1"/>
  <c r="RP46" i="11"/>
  <c r="RX46" i="11" s="1"/>
  <c r="RI42" i="11"/>
  <c r="GL42" i="11"/>
  <c r="RP42" i="11"/>
  <c r="RX42" i="11" s="1"/>
  <c r="DS72" i="11"/>
  <c r="DV68" i="11"/>
  <c r="DV66" i="11"/>
  <c r="RI60" i="11"/>
  <c r="RP60" i="11"/>
  <c r="RX60" i="11" s="1"/>
  <c r="RP56" i="11"/>
  <c r="RX56" i="11" s="1"/>
  <c r="RI56" i="11"/>
  <c r="RM56" i="11" s="1"/>
  <c r="ER52" i="11"/>
  <c r="EO52" i="11"/>
  <c r="EL52" i="11"/>
  <c r="EM52" i="11" s="1"/>
  <c r="RP48" i="11"/>
  <c r="RX48" i="11" s="1"/>
  <c r="RI48" i="11"/>
  <c r="RP44" i="11"/>
  <c r="RX44" i="11" s="1"/>
  <c r="RI44" i="11"/>
  <c r="RM44" i="11" s="1"/>
  <c r="GL44" i="11"/>
  <c r="RP40" i="11"/>
  <c r="RX40" i="11" s="1"/>
  <c r="RI40" i="11"/>
  <c r="RM40" i="11" s="1"/>
  <c r="AN54" i="11"/>
  <c r="AU54" i="11" s="1"/>
  <c r="JS54" i="11"/>
  <c r="MZ40" i="11"/>
  <c r="ER60" i="11"/>
  <c r="EO60" i="11"/>
  <c r="EL60" i="11"/>
  <c r="EM60" i="11" s="1"/>
  <c r="DH58" i="11"/>
  <c r="DI58" i="11" s="1"/>
  <c r="AT58" i="11"/>
  <c r="DV52" i="11"/>
  <c r="DH50" i="11"/>
  <c r="DI50" i="11" s="1"/>
  <c r="QH50" i="11"/>
  <c r="QI50" i="11" s="1"/>
  <c r="JS50" i="11"/>
  <c r="BB48" i="11"/>
  <c r="MZ44" i="11"/>
  <c r="QN44" i="11"/>
  <c r="QO44" i="11" s="1"/>
  <c r="QJ44" i="11"/>
  <c r="QK44" i="11" s="1"/>
  <c r="QH44" i="11"/>
  <c r="QI44" i="11" s="1"/>
  <c r="QE44" i="11"/>
  <c r="QF44" i="11" s="1"/>
  <c r="AT44" i="11"/>
  <c r="LQ44" i="11"/>
  <c r="AN44" i="11"/>
  <c r="AU44" i="11" s="1"/>
  <c r="ER42" i="11"/>
  <c r="EO42" i="11"/>
  <c r="EL42" i="11"/>
  <c r="EM42" i="11" s="1"/>
  <c r="QN40" i="11"/>
  <c r="QO40" i="11" s="1"/>
  <c r="QE40" i="11"/>
  <c r="QF40" i="11" s="1"/>
  <c r="AN40" i="11"/>
  <c r="AU40" i="11" s="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JB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S36" i="11" s="1"/>
  <c r="OT36" i="11" s="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FF36" i="11"/>
  <c r="HE36" i="11"/>
  <c r="JQ36" i="11"/>
  <c r="LW36" i="11"/>
  <c r="OB36" i="11"/>
  <c r="PJ36" i="11"/>
  <c r="PO36" i="11"/>
  <c r="PU36" i="11"/>
  <c r="PZ36" i="11"/>
  <c r="NF36" i="11"/>
  <c r="KF36" i="11"/>
  <c r="KL36" i="11" s="1"/>
  <c r="NB36" i="11"/>
  <c r="KP36" i="11"/>
  <c r="BU36" i="11"/>
  <c r="LZ36" i="11"/>
  <c r="MN36" i="11"/>
  <c r="MO36" i="11" s="1"/>
  <c r="MP36" i="11" s="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RI30" i="1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FF24" i="11"/>
  <c r="HE24" i="11"/>
  <c r="JQ24" i="11"/>
  <c r="LW24" i="11"/>
  <c r="OB24" i="11"/>
  <c r="PJ24" i="11"/>
  <c r="PO24" i="11"/>
  <c r="PU24" i="11"/>
  <c r="PZ24" i="11"/>
  <c r="NF24" i="11"/>
  <c r="KF24" i="11"/>
  <c r="KL24" i="11" s="1"/>
  <c r="NB24" i="11"/>
  <c r="KP24" i="11"/>
  <c r="BU24" i="11"/>
  <c r="LZ24" i="11"/>
  <c r="MN24" i="11"/>
  <c r="MO24" i="11" s="1"/>
  <c r="MP24" i="11" s="1"/>
  <c r="JB24" i="11"/>
  <c r="ML24" i="11"/>
  <c r="FH24" i="11"/>
  <c r="FI24" i="11" s="1"/>
  <c r="HH24" i="11"/>
  <c r="II24" i="11"/>
  <c r="IQ24" i="11"/>
  <c r="KV24" i="11"/>
  <c r="LB24" i="11"/>
  <c r="MT24" i="1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LQ70" i="11" l="1"/>
  <c r="LR70" i="11" s="1"/>
  <c r="LS70" i="11" s="1"/>
  <c r="QH70" i="11"/>
  <c r="QI70" i="11" s="1"/>
  <c r="DV70" i="11"/>
  <c r="DW70" i="11" s="1"/>
  <c r="AT70" i="11"/>
  <c r="QJ70" i="11"/>
  <c r="QK70" i="11" s="1"/>
  <c r="DH70" i="11"/>
  <c r="DI70" i="11" s="1"/>
  <c r="JS70" i="11"/>
  <c r="HC70" i="13" s="1"/>
  <c r="QL70" i="11"/>
  <c r="QM70" i="11" s="1"/>
  <c r="RM76" i="11"/>
  <c r="LR74" i="11"/>
  <c r="LS74" i="11" s="1"/>
  <c r="JH74" i="13"/>
  <c r="JT74" i="11"/>
  <c r="HC74" i="13"/>
  <c r="BC74" i="11"/>
  <c r="DF74" i="13"/>
  <c r="DH74" i="11"/>
  <c r="DI74" i="11" s="1"/>
  <c r="LD74" i="11"/>
  <c r="LF74" i="11"/>
  <c r="DV74" i="11"/>
  <c r="DW74" i="11" s="1"/>
  <c r="AU76" i="11"/>
  <c r="QR76" i="11"/>
  <c r="LR76" i="11"/>
  <c r="LS76" i="11" s="1"/>
  <c r="JH76" i="13"/>
  <c r="BC76" i="11"/>
  <c r="DF76" i="13"/>
  <c r="JT76" i="11"/>
  <c r="HC76" i="13"/>
  <c r="O70" i="12"/>
  <c r="P70" i="12" s="1"/>
  <c r="LF76" i="11"/>
  <c r="LD76" i="11"/>
  <c r="BD76" i="11"/>
  <c r="BH76" i="11" s="1"/>
  <c r="BL76" i="11" s="1"/>
  <c r="GQ68" i="13"/>
  <c r="RM54" i="11"/>
  <c r="JK20" i="11"/>
  <c r="RI26" i="11"/>
  <c r="GU40" i="11"/>
  <c r="JS68" i="11"/>
  <c r="AN68" i="11"/>
  <c r="QR68" i="11" s="1"/>
  <c r="BB68" i="11"/>
  <c r="DF68" i="13" s="1"/>
  <c r="AT68" i="11"/>
  <c r="AN52" i="11"/>
  <c r="QR52" i="11" s="1"/>
  <c r="QJ52" i="11"/>
  <c r="QK52" i="11" s="1"/>
  <c r="AN50" i="11"/>
  <c r="AU50" i="11" s="1"/>
  <c r="RC24" i="11"/>
  <c r="RE24" i="11"/>
  <c r="FD66" i="11"/>
  <c r="RL66" i="11" s="1"/>
  <c r="RM66" i="11" s="1"/>
  <c r="MZ66" i="11"/>
  <c r="GL62" i="11"/>
  <c r="GM62" i="11" s="1"/>
  <c r="FO62" i="11"/>
  <c r="GU62" i="11"/>
  <c r="QJ50" i="11"/>
  <c r="QK50" i="11" s="1"/>
  <c r="DS50" i="11"/>
  <c r="DT50" i="11" s="1"/>
  <c r="AT50" i="11"/>
  <c r="QL50" i="11"/>
  <c r="QM50" i="11" s="1"/>
  <c r="LQ50" i="11"/>
  <c r="LR50" i="11" s="1"/>
  <c r="LS50" i="11" s="1"/>
  <c r="QH46" i="11"/>
  <c r="QI46" i="11" s="1"/>
  <c r="RB24" i="11"/>
  <c r="BB52" i="11"/>
  <c r="BC52" i="11" s="1"/>
  <c r="O46" i="12"/>
  <c r="P46" i="12" s="1"/>
  <c r="DH46" i="11"/>
  <c r="DI46" i="11" s="1"/>
  <c r="GQ66" i="13"/>
  <c r="RJ34" i="11"/>
  <c r="GM72" i="11"/>
  <c r="GO72" i="11"/>
  <c r="JL64" i="11"/>
  <c r="JM64" i="11" s="1"/>
  <c r="GQ64" i="13"/>
  <c r="JL58" i="11"/>
  <c r="JM58" i="11" s="1"/>
  <c r="GQ58" i="13"/>
  <c r="GM58" i="11"/>
  <c r="GP58" i="11"/>
  <c r="GM56" i="11"/>
  <c r="GP56" i="11"/>
  <c r="GM54" i="11"/>
  <c r="GP54" i="11"/>
  <c r="GM50" i="11"/>
  <c r="GP50" i="11"/>
  <c r="JL50" i="11"/>
  <c r="JM50" i="11" s="1"/>
  <c r="GQ50" i="13"/>
  <c r="GM44" i="11"/>
  <c r="GP44" i="11"/>
  <c r="GM42" i="11"/>
  <c r="GP42" i="11"/>
  <c r="JL40" i="11"/>
  <c r="JM40" i="11" s="1"/>
  <c r="GQ40" i="13"/>
  <c r="FD28" i="11"/>
  <c r="RL28" i="11" s="1"/>
  <c r="JL46" i="11"/>
  <c r="JM46" i="11" s="1"/>
  <c r="GQ46" i="13"/>
  <c r="JK24" i="11"/>
  <c r="JL24" i="11" s="1"/>
  <c r="JK22" i="11"/>
  <c r="JL22" i="11" s="1"/>
  <c r="FP68" i="11"/>
  <c r="FS68" i="11" s="1"/>
  <c r="QJ46" i="11"/>
  <c r="QK46" i="11" s="1"/>
  <c r="DS46" i="11"/>
  <c r="DT46" i="11" s="1"/>
  <c r="RM46" i="11"/>
  <c r="AT46" i="11"/>
  <c r="QL46" i="11"/>
  <c r="QM46" i="11" s="1"/>
  <c r="LQ46" i="11"/>
  <c r="LR46" i="11" s="1"/>
  <c r="LS46" i="11" s="1"/>
  <c r="JS46" i="11"/>
  <c r="JT46" i="11" s="1"/>
  <c r="AN46" i="11"/>
  <c r="JS44" i="11"/>
  <c r="QL44" i="11"/>
  <c r="QM44" i="11" s="1"/>
  <c r="LQ40" i="11"/>
  <c r="QH40" i="11"/>
  <c r="QI40" i="11" s="1"/>
  <c r="BB40" i="11"/>
  <c r="BC40" i="11" s="1"/>
  <c r="FP40" i="11"/>
  <c r="FS40" i="11" s="1"/>
  <c r="O34" i="12"/>
  <c r="P34" i="12" s="1"/>
  <c r="AT40" i="11"/>
  <c r="QJ40" i="11"/>
  <c r="QK40" i="11" s="1"/>
  <c r="GL40" i="11"/>
  <c r="DS40" i="11"/>
  <c r="DT40" i="11" s="1"/>
  <c r="JS40" i="11"/>
  <c r="HC40" i="13" s="1"/>
  <c r="QL40" i="11"/>
  <c r="QM40" i="11" s="1"/>
  <c r="QE50" i="11"/>
  <c r="QF50" i="11" s="1"/>
  <c r="QN50" i="11"/>
  <c r="QO50" i="11" s="1"/>
  <c r="DV50" i="11"/>
  <c r="DW50" i="11" s="1"/>
  <c r="BB50" i="11"/>
  <c r="DF50" i="13" s="1"/>
  <c r="LQ52" i="11"/>
  <c r="JH52" i="13" s="1"/>
  <c r="QH52" i="11"/>
  <c r="QI52" i="11" s="1"/>
  <c r="DS52" i="11"/>
  <c r="DT52" i="11" s="1"/>
  <c r="QH54" i="11"/>
  <c r="QI54" i="11" s="1"/>
  <c r="DH54" i="11"/>
  <c r="DI54" i="11" s="1"/>
  <c r="QJ54" i="11"/>
  <c r="QK54" i="11" s="1"/>
  <c r="DS54" i="11"/>
  <c r="DT54" i="11" s="1"/>
  <c r="AT54" i="11"/>
  <c r="QL54" i="11"/>
  <c r="QM54" i="11" s="1"/>
  <c r="LQ54" i="11"/>
  <c r="LR54" i="11" s="1"/>
  <c r="LS54" i="11" s="1"/>
  <c r="BB54" i="11"/>
  <c r="BC54" i="11" s="1"/>
  <c r="AT56" i="11"/>
  <c r="QL56" i="11"/>
  <c r="QM56" i="11" s="1"/>
  <c r="DV56" i="11"/>
  <c r="DW56" i="11" s="1"/>
  <c r="JS56" i="11"/>
  <c r="JT56" i="11" s="1"/>
  <c r="QJ58" i="11"/>
  <c r="QK58" i="11" s="1"/>
  <c r="JT72" i="11"/>
  <c r="JW72" i="11" s="1"/>
  <c r="OE72" i="11" s="1"/>
  <c r="HC72" i="13"/>
  <c r="LR72" i="11"/>
  <c r="LS72" i="11" s="1"/>
  <c r="JH72" i="13"/>
  <c r="BC72" i="11"/>
  <c r="DF72" i="13"/>
  <c r="MZ70" i="11"/>
  <c r="FO70" i="11"/>
  <c r="JH70" i="13"/>
  <c r="BC70" i="11"/>
  <c r="DF70" i="13"/>
  <c r="AU70" i="11"/>
  <c r="QR70" i="11"/>
  <c r="DS70" i="11"/>
  <c r="DT70" i="11" s="1"/>
  <c r="LD70" i="11"/>
  <c r="LF70" i="11"/>
  <c r="GL70" i="11"/>
  <c r="GM70" i="11" s="1"/>
  <c r="FP70" i="11"/>
  <c r="FS70" i="11" s="1"/>
  <c r="GU68" i="11"/>
  <c r="AU68" i="11"/>
  <c r="LR68" i="11"/>
  <c r="LS68" i="11" s="1"/>
  <c r="JH68" i="13"/>
  <c r="DT68" i="11"/>
  <c r="JT68" i="11"/>
  <c r="JU68" i="11" s="1"/>
  <c r="HC68" i="13"/>
  <c r="O62" i="12"/>
  <c r="P62" i="12" s="1"/>
  <c r="LF68" i="11"/>
  <c r="LD68" i="11"/>
  <c r="GL68" i="11"/>
  <c r="GM68" i="11" s="1"/>
  <c r="QE68" i="11"/>
  <c r="QF68" i="11" s="1"/>
  <c r="QN68" i="11"/>
  <c r="QO68" i="11" s="1"/>
  <c r="DH68" i="11"/>
  <c r="DI68" i="11" s="1"/>
  <c r="JT66" i="11"/>
  <c r="JU66" i="11" s="1"/>
  <c r="HC66" i="13"/>
  <c r="AU66" i="11"/>
  <c r="QR66" i="11"/>
  <c r="O60" i="12"/>
  <c r="P60" i="12" s="1"/>
  <c r="LF66" i="11"/>
  <c r="LD66" i="11"/>
  <c r="LR66" i="11"/>
  <c r="LS66" i="11" s="1"/>
  <c r="JH66" i="13"/>
  <c r="BC66" i="11"/>
  <c r="DF66" i="13"/>
  <c r="DS66" i="11"/>
  <c r="DT66" i="11" s="1"/>
  <c r="O58" i="12"/>
  <c r="P58" i="12" s="1"/>
  <c r="LF64" i="11"/>
  <c r="LD64" i="11"/>
  <c r="EZ64" i="11"/>
  <c r="FC64" i="11" s="1"/>
  <c r="DH64" i="11"/>
  <c r="DI64" i="11" s="1"/>
  <c r="AT64" i="11"/>
  <c r="QJ64" i="11"/>
  <c r="QK64" i="11" s="1"/>
  <c r="LQ64" i="11"/>
  <c r="BB64" i="11"/>
  <c r="JS64" i="11"/>
  <c r="QL64" i="11"/>
  <c r="QM64" i="11" s="1"/>
  <c r="DS64" i="11"/>
  <c r="DT64" i="11" s="1"/>
  <c r="QE64" i="11"/>
  <c r="QF64" i="11" s="1"/>
  <c r="QN64" i="11"/>
  <c r="QO64" i="11" s="1"/>
  <c r="DV64" i="11"/>
  <c r="DW64" i="11" s="1"/>
  <c r="JT62" i="11"/>
  <c r="JW62" i="11" s="1"/>
  <c r="OE62" i="11" s="1"/>
  <c r="HC62" i="13"/>
  <c r="AU62" i="11"/>
  <c r="QR62" i="11"/>
  <c r="LR62" i="11"/>
  <c r="LS62" i="11" s="1"/>
  <c r="JH62" i="13"/>
  <c r="BC62" i="11"/>
  <c r="DF62" i="13"/>
  <c r="DS62" i="11"/>
  <c r="DT62" i="11" s="1"/>
  <c r="LF62" i="11"/>
  <c r="LD62" i="11"/>
  <c r="O54" i="12"/>
  <c r="P54" i="12" s="1"/>
  <c r="LF60" i="11"/>
  <c r="LD60" i="11"/>
  <c r="LG60" i="11" s="1"/>
  <c r="EZ60" i="11"/>
  <c r="FC60" i="11" s="1"/>
  <c r="BB60" i="11"/>
  <c r="QL60" i="11"/>
  <c r="QM60" i="11" s="1"/>
  <c r="AN60" i="11"/>
  <c r="AU60" i="11" s="1"/>
  <c r="QE60" i="11"/>
  <c r="QF60" i="11" s="1"/>
  <c r="QN60" i="11"/>
  <c r="QO60" i="11" s="1"/>
  <c r="DH60" i="11"/>
  <c r="DI60" i="11" s="1"/>
  <c r="QH60" i="11"/>
  <c r="QI60" i="11" s="1"/>
  <c r="LQ60" i="11"/>
  <c r="LR60" i="11" s="1"/>
  <c r="LS60" i="11" s="1"/>
  <c r="AT60" i="11"/>
  <c r="QJ60" i="11"/>
  <c r="QK60" i="11" s="1"/>
  <c r="DS60" i="11"/>
  <c r="DT60" i="11" s="1"/>
  <c r="DS58" i="11"/>
  <c r="QE58" i="11"/>
  <c r="QF58" i="11" s="1"/>
  <c r="QN58" i="11"/>
  <c r="QO58" i="11" s="1"/>
  <c r="QH58" i="11"/>
  <c r="QI58" i="11" s="1"/>
  <c r="AN58" i="11"/>
  <c r="AU58" i="11" s="1"/>
  <c r="LQ58" i="11"/>
  <c r="BB58" i="11"/>
  <c r="JS58" i="11"/>
  <c r="QL58" i="11"/>
  <c r="QM58" i="11" s="1"/>
  <c r="DV58" i="11"/>
  <c r="LR56" i="11"/>
  <c r="LS56" i="11" s="1"/>
  <c r="JH56" i="13"/>
  <c r="BB56" i="11"/>
  <c r="AN56" i="11"/>
  <c r="AU56" i="11" s="1"/>
  <c r="QE56" i="11"/>
  <c r="QF56" i="11" s="1"/>
  <c r="QN56" i="11"/>
  <c r="QO56" i="11" s="1"/>
  <c r="DF54" i="13"/>
  <c r="JT54" i="11"/>
  <c r="JW54" i="11" s="1"/>
  <c r="OE54" i="11" s="1"/>
  <c r="HC54" i="13"/>
  <c r="QE54" i="11"/>
  <c r="QF54" i="11" s="1"/>
  <c r="QN54" i="11"/>
  <c r="QO54" i="11" s="1"/>
  <c r="DV54" i="11"/>
  <c r="JT52" i="11"/>
  <c r="JU52" i="11" s="1"/>
  <c r="HC52" i="13"/>
  <c r="AU52" i="11"/>
  <c r="QU52" i="11"/>
  <c r="LD52" i="11"/>
  <c r="LF52" i="11"/>
  <c r="JH50" i="13"/>
  <c r="JT50" i="11"/>
  <c r="JU50" i="11" s="1"/>
  <c r="HC50" i="13"/>
  <c r="BC48" i="11"/>
  <c r="R42" i="12" s="1"/>
  <c r="S42" i="12" s="1"/>
  <c r="DF48" i="13"/>
  <c r="LR48" i="11"/>
  <c r="LS48" i="11" s="1"/>
  <c r="JH48" i="13"/>
  <c r="JT48" i="11"/>
  <c r="JU48" i="11" s="1"/>
  <c r="HC48" i="13"/>
  <c r="LF48" i="11"/>
  <c r="LD48" i="11"/>
  <c r="EZ48" i="11"/>
  <c r="FC48" i="11" s="1"/>
  <c r="AN48" i="11"/>
  <c r="AU48" i="11" s="1"/>
  <c r="QE48" i="11"/>
  <c r="QF48" i="11" s="1"/>
  <c r="QN48" i="11"/>
  <c r="QO48" i="11" s="1"/>
  <c r="O42" i="12"/>
  <c r="P42" i="12" s="1"/>
  <c r="BC46" i="11"/>
  <c r="BG46" i="11" s="1"/>
  <c r="BK46" i="11" s="1"/>
  <c r="DF46" i="13"/>
  <c r="O40" i="12"/>
  <c r="P40" i="12" s="1"/>
  <c r="LD46" i="11"/>
  <c r="LF46" i="11"/>
  <c r="QE46" i="11"/>
  <c r="QF46" i="11" s="1"/>
  <c r="QN46" i="11"/>
  <c r="QO46" i="11" s="1"/>
  <c r="DV46" i="11"/>
  <c r="DW46" i="11" s="1"/>
  <c r="LR44" i="11"/>
  <c r="LS44" i="11" s="1"/>
  <c r="JH44" i="13"/>
  <c r="BC44" i="11"/>
  <c r="EH44" i="11" s="1"/>
  <c r="DF44" i="13"/>
  <c r="JT44" i="11"/>
  <c r="JU44" i="11" s="1"/>
  <c r="HC44" i="13"/>
  <c r="BD44" i="11"/>
  <c r="BH44" i="11" s="1"/>
  <c r="BL44" i="11" s="1"/>
  <c r="JT42" i="11"/>
  <c r="JU42" i="11" s="1"/>
  <c r="HC42" i="13"/>
  <c r="RM42" i="11"/>
  <c r="LR42" i="11"/>
  <c r="LS42" i="11" s="1"/>
  <c r="JH42" i="13"/>
  <c r="BC42" i="11"/>
  <c r="DF42" i="13"/>
  <c r="BD42" i="11"/>
  <c r="BH42" i="11" s="1"/>
  <c r="BL42" i="11" s="1"/>
  <c r="LR40" i="11"/>
  <c r="LS40" i="11" s="1"/>
  <c r="JH40" i="13"/>
  <c r="DF40" i="13"/>
  <c r="JT40" i="11"/>
  <c r="JU40" i="11" s="1"/>
  <c r="BG38" i="11"/>
  <c r="BK38" i="11" s="1"/>
  <c r="IL38" i="11" s="1"/>
  <c r="OD38" i="11" s="1"/>
  <c r="LL38" i="11"/>
  <c r="LK38" i="11"/>
  <c r="R32" i="12"/>
  <c r="S32" i="12" s="1"/>
  <c r="LG38" i="11"/>
  <c r="LH38" i="11" s="1"/>
  <c r="LI38" i="11" s="1"/>
  <c r="AU38" i="11"/>
  <c r="QR38" i="11"/>
  <c r="BD38" i="11"/>
  <c r="BH38" i="11" s="1"/>
  <c r="BL38" i="11" s="1"/>
  <c r="EE38" i="11"/>
  <c r="RM38" i="11"/>
  <c r="FD34" i="11"/>
  <c r="RL34" i="11" s="1"/>
  <c r="FN22" i="11"/>
  <c r="GU22" i="11" s="1"/>
  <c r="FN20" i="11"/>
  <c r="GU20" i="11" s="1"/>
  <c r="JT60" i="11"/>
  <c r="JW60" i="11" s="1"/>
  <c r="OE60" i="11" s="1"/>
  <c r="HC60" i="13"/>
  <c r="BC60" i="11"/>
  <c r="BG60" i="11" s="1"/>
  <c r="BK60" i="11" s="1"/>
  <c r="DF60" i="13"/>
  <c r="FD30" i="11"/>
  <c r="RL30" i="11" s="1"/>
  <c r="RM30" i="11" s="1"/>
  <c r="EH80" i="11"/>
  <c r="EI80" i="11" s="1"/>
  <c r="RB36" i="11"/>
  <c r="IL96" i="11"/>
  <c r="OD96" i="11" s="1"/>
  <c r="FP20" i="11"/>
  <c r="FG20" i="11"/>
  <c r="FP22" i="11"/>
  <c r="FG22" i="11"/>
  <c r="FG24" i="11"/>
  <c r="FP34" i="11"/>
  <c r="FG34" i="11"/>
  <c r="FP36" i="11"/>
  <c r="FG36" i="11"/>
  <c r="GU36" i="11"/>
  <c r="FO36" i="11"/>
  <c r="GU30" i="11"/>
  <c r="FO30" i="11"/>
  <c r="RP30" i="11"/>
  <c r="FP30" i="11"/>
  <c r="FG30" i="11"/>
  <c r="GU94" i="11"/>
  <c r="FO94" i="11"/>
  <c r="FG32" i="11"/>
  <c r="GU50" i="11"/>
  <c r="FO50" i="11"/>
  <c r="GU44" i="11"/>
  <c r="FO44" i="11"/>
  <c r="GU66" i="11"/>
  <c r="FO66" i="11"/>
  <c r="GU56" i="11"/>
  <c r="FO56" i="11"/>
  <c r="FP66" i="11"/>
  <c r="FS66" i="11" s="1"/>
  <c r="FP28" i="11"/>
  <c r="FG28" i="11"/>
  <c r="GU28" i="11"/>
  <c r="FO28" i="11"/>
  <c r="GU34" i="11"/>
  <c r="FO34" i="11"/>
  <c r="BB100" i="11"/>
  <c r="O94" i="12"/>
  <c r="P94" i="12" s="1"/>
  <c r="GU38" i="11"/>
  <c r="FO38" i="11"/>
  <c r="GU52" i="11"/>
  <c r="FO52" i="11"/>
  <c r="FP56" i="11"/>
  <c r="FS56" i="11" s="1"/>
  <c r="FP44" i="11"/>
  <c r="FS44" i="11" s="1"/>
  <c r="FP52" i="11"/>
  <c r="FS52" i="11" s="1"/>
  <c r="FP38" i="11"/>
  <c r="FS38" i="11" s="1"/>
  <c r="FP50" i="11"/>
  <c r="FS50" i="11" s="1"/>
  <c r="FP94" i="11"/>
  <c r="RE36" i="11"/>
  <c r="IX82" i="11"/>
  <c r="FN24" i="11"/>
  <c r="GL24" i="11" s="1"/>
  <c r="RC28" i="11"/>
  <c r="IT28" i="11"/>
  <c r="RB28" i="11"/>
  <c r="RX32" i="11"/>
  <c r="JK34" i="11"/>
  <c r="JL34" i="11" s="1"/>
  <c r="RC36" i="11"/>
  <c r="JK36" i="11"/>
  <c r="GQ36" i="13" s="1"/>
  <c r="FD36" i="11"/>
  <c r="RL36" i="11" s="1"/>
  <c r="JW48" i="11"/>
  <c r="OE48"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IX96" i="11"/>
  <c r="BD80" i="11"/>
  <c r="BH80" i="11" s="1"/>
  <c r="BL80" i="11" s="1"/>
  <c r="BG94" i="11"/>
  <c r="BK94" i="11" s="1"/>
  <c r="IL94" i="11" s="1"/>
  <c r="OD94" i="11" s="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IX84" i="11"/>
  <c r="JE94" i="11"/>
  <c r="RM94" i="11"/>
  <c r="IL80" i="11"/>
  <c r="OD80" i="11" s="1"/>
  <c r="JE80" i="11"/>
  <c r="JW88" i="11"/>
  <c r="OE88" i="11" s="1"/>
  <c r="EE80" i="11"/>
  <c r="JW38" i="11"/>
  <c r="OE38" i="11" s="1"/>
  <c r="MH42" i="11"/>
  <c r="ES42" i="11"/>
  <c r="MB42" i="11"/>
  <c r="EP42" i="11"/>
  <c r="EH48" i="11"/>
  <c r="BD48" i="11"/>
  <c r="BH48" i="11" s="1"/>
  <c r="BL48" i="11" s="1"/>
  <c r="BG48" i="11"/>
  <c r="BK48" i="11" s="1"/>
  <c r="IL48" i="11" s="1"/>
  <c r="OD48" i="11" s="1"/>
  <c r="DW52" i="11"/>
  <c r="DW58" i="11"/>
  <c r="MH60" i="11"/>
  <c r="ES60" i="11"/>
  <c r="JU54" i="11"/>
  <c r="DW54" i="11"/>
  <c r="EP52" i="11"/>
  <c r="MB52" i="11"/>
  <c r="DW66" i="11"/>
  <c r="DW68" i="11"/>
  <c r="FS42" i="11"/>
  <c r="FS46" i="11"/>
  <c r="FS54" i="11"/>
  <c r="FS58" i="11"/>
  <c r="EP62" i="11"/>
  <c r="MB62" i="11"/>
  <c r="MH66" i="11"/>
  <c r="ES66" i="11"/>
  <c r="EP70" i="11"/>
  <c r="MB70" i="11"/>
  <c r="DT76" i="11"/>
  <c r="DW78" i="11"/>
  <c r="JE78" i="11"/>
  <c r="MB64" i="11"/>
  <c r="EP64"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JE38" i="11"/>
  <c r="DT42" i="11"/>
  <c r="MH50" i="11"/>
  <c r="ES50" i="11"/>
  <c r="MH58" i="11"/>
  <c r="ES58" i="11"/>
  <c r="JU60" i="11"/>
  <c r="MB38" i="11"/>
  <c r="EP38" i="11"/>
  <c r="MH46" i="11"/>
  <c r="ES46" i="11"/>
  <c r="MH54" i="11"/>
  <c r="ES54" i="11"/>
  <c r="MH40" i="11"/>
  <c r="ES40" i="11"/>
  <c r="EP44" i="11"/>
  <c r="MB44" i="11"/>
  <c r="MH48" i="11"/>
  <c r="ES48" i="11"/>
  <c r="EP56" i="11"/>
  <c r="MB56" i="11"/>
  <c r="EE62" i="11"/>
  <c r="BD62" i="11"/>
  <c r="BH62" i="11" s="1"/>
  <c r="BL62" i="11" s="1"/>
  <c r="EH70" i="11"/>
  <c r="EE70" i="11"/>
  <c r="BD70" i="11"/>
  <c r="BH70" i="11" s="1"/>
  <c r="BL70" i="11" s="1"/>
  <c r="BG70" i="11"/>
  <c r="BK70" i="11" s="1"/>
  <c r="IL70" i="11" s="1"/>
  <c r="OD70" i="11" s="1"/>
  <c r="FS72" i="11"/>
  <c r="MB76" i="11"/>
  <c r="EP76" i="11"/>
  <c r="MH80" i="11"/>
  <c r="ES80" i="11"/>
  <c r="MH68" i="11"/>
  <c r="ES68" i="11"/>
  <c r="JW80" i="11"/>
  <c r="OE80" i="11" s="1"/>
  <c r="EP74" i="11"/>
  <c r="MB74" i="11"/>
  <c r="FS78" i="11"/>
  <c r="MB86" i="11"/>
  <c r="EP86" i="11"/>
  <c r="FS84" i="11"/>
  <c r="MH88" i="11"/>
  <c r="ES88" i="11"/>
  <c r="IX88" i="11"/>
  <c r="JU90" i="11"/>
  <c r="JW90" i="11"/>
  <c r="OE90" i="11" s="1"/>
  <c r="FS86" i="11"/>
  <c r="EP90" i="11"/>
  <c r="MB90" i="11"/>
  <c r="IX90" i="11"/>
  <c r="FS92" i="11"/>
  <c r="JE92" i="11"/>
  <c r="GF92" i="11" s="1"/>
  <c r="GH92" i="11" s="1"/>
  <c r="GI92" i="11" s="1"/>
  <c r="DT58" i="11"/>
  <c r="MB60" i="11"/>
  <c r="EP60" i="11"/>
  <c r="MH52" i="11"/>
  <c r="ES52" i="11"/>
  <c r="DT72" i="11"/>
  <c r="JU72" i="11"/>
  <c r="MH62" i="11"/>
  <c r="ES62" i="11"/>
  <c r="EP66" i="11"/>
  <c r="MB66" i="11"/>
  <c r="MH70" i="11"/>
  <c r="ES70" i="11"/>
  <c r="JU76" i="11"/>
  <c r="JW76" i="11"/>
  <c r="OE76" i="11" s="1"/>
  <c r="DW76" i="11"/>
  <c r="DW82" i="11"/>
  <c r="JE82" i="11"/>
  <c r="GF82" i="11" s="1"/>
  <c r="GH82" i="11" s="1"/>
  <c r="GI82" i="11" s="1"/>
  <c r="MH64" i="1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W42" i="11"/>
  <c r="OE42" i="11" s="1"/>
  <c r="DW42" i="11"/>
  <c r="JW44" i="11"/>
  <c r="OE44" i="11" s="1"/>
  <c r="MB50" i="11"/>
  <c r="EP50" i="11"/>
  <c r="MB58" i="11"/>
  <c r="EP58" i="11"/>
  <c r="MH38" i="11"/>
  <c r="ES38" i="11"/>
  <c r="MB46" i="11"/>
  <c r="EP46" i="11"/>
  <c r="MB54" i="11"/>
  <c r="EP54" i="11"/>
  <c r="EP40" i="11"/>
  <c r="MB40" i="11"/>
  <c r="MH44" i="11"/>
  <c r="ES44" i="11"/>
  <c r="EP48" i="11"/>
  <c r="MB48" i="11"/>
  <c r="MH56" i="11"/>
  <c r="ES56" i="11"/>
  <c r="FS62" i="11"/>
  <c r="MH76" i="11"/>
  <c r="ES76" i="11"/>
  <c r="MB80" i="11"/>
  <c r="EP80" i="11"/>
  <c r="MB68" i="11"/>
  <c r="EP68"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GL28" i="11"/>
  <c r="KA28" i="11"/>
  <c r="KB28" i="11" s="1"/>
  <c r="KC28" i="11" s="1"/>
  <c r="HI28" i="13"/>
  <c r="RB26" i="11"/>
  <c r="RE26" i="11"/>
  <c r="RC26" i="11"/>
  <c r="KM26" i="11"/>
  <c r="KN26" i="11" s="1"/>
  <c r="HO26" i="13"/>
  <c r="JK26" i="11"/>
  <c r="IT26" i="11"/>
  <c r="KQ26" i="11"/>
  <c r="KR26" i="11" s="1"/>
  <c r="HU26" i="13"/>
  <c r="EP26" i="11"/>
  <c r="MB26" i="11"/>
  <c r="MH26" i="11"/>
  <c r="ES26" i="11"/>
  <c r="CH26" i="13"/>
  <c r="AM26" i="11"/>
  <c r="EZ26" i="11" s="1"/>
  <c r="FC26" i="11" s="1"/>
  <c r="FN26" i="11" s="1"/>
  <c r="FO26" i="11" s="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GL20" i="1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LM38" i="11" l="1"/>
  <c r="LN38" i="11" s="1"/>
  <c r="LO38" i="11" s="1"/>
  <c r="JW66" i="11"/>
  <c r="OE66" i="11" s="1"/>
  <c r="JT70" i="11"/>
  <c r="LG74" i="11"/>
  <c r="JU74" i="11"/>
  <c r="JW74" i="11"/>
  <c r="OE74" i="11" s="1"/>
  <c r="R68" i="12"/>
  <c r="S68" i="12" s="1"/>
  <c r="EH74" i="11"/>
  <c r="BG74" i="11"/>
  <c r="BK74" i="11" s="1"/>
  <c r="IL74" i="11" s="1"/>
  <c r="OD74" i="11" s="1"/>
  <c r="EE74" i="11"/>
  <c r="BD74" i="11"/>
  <c r="BH74" i="11" s="1"/>
  <c r="BL74" i="11" s="1"/>
  <c r="LG76" i="11"/>
  <c r="BG76" i="11"/>
  <c r="BK76" i="11" s="1"/>
  <c r="IL76" i="11" s="1"/>
  <c r="OD76" i="11" s="1"/>
  <c r="LK76" i="11"/>
  <c r="LL76" i="11"/>
  <c r="R70" i="12"/>
  <c r="S70" i="12" s="1"/>
  <c r="EH76" i="11"/>
  <c r="OF76" i="11"/>
  <c r="OG76" i="11" s="1"/>
  <c r="GL22" i="11"/>
  <c r="RM28" i="11"/>
  <c r="GQ34" i="13"/>
  <c r="OF48" i="11"/>
  <c r="OG48" i="11" s="1"/>
  <c r="LG70" i="11"/>
  <c r="LH70" i="11" s="1"/>
  <c r="LI70" i="11" s="1"/>
  <c r="BC68" i="11"/>
  <c r="R62" i="12" s="1"/>
  <c r="S62" i="12" s="1"/>
  <c r="DF52" i="13"/>
  <c r="JW50" i="11"/>
  <c r="OE50" i="11" s="1"/>
  <c r="BC50" i="11"/>
  <c r="EE50" i="11" s="1"/>
  <c r="EF50" i="11" s="1"/>
  <c r="JU62" i="11"/>
  <c r="LR52" i="11"/>
  <c r="LS52" i="11" s="1"/>
  <c r="AU46" i="11"/>
  <c r="QR46" i="11"/>
  <c r="JH46" i="13"/>
  <c r="GL26" i="11"/>
  <c r="GM26" i="11" s="1"/>
  <c r="GU26" i="11"/>
  <c r="FP26" i="11"/>
  <c r="FS26" i="11" s="1"/>
  <c r="FD26" i="11"/>
  <c r="RL26" i="11" s="1"/>
  <c r="RM26" i="11" s="1"/>
  <c r="LG68" i="11"/>
  <c r="LH68" i="11" s="1"/>
  <c r="LI68" i="11" s="1"/>
  <c r="LG66" i="11"/>
  <c r="LG62" i="11"/>
  <c r="IS62" i="13" s="1"/>
  <c r="QU46" i="11"/>
  <c r="IL46" i="11"/>
  <c r="OD46" i="11" s="1"/>
  <c r="JL36" i="11"/>
  <c r="JM36" i="11" s="1"/>
  <c r="RM34" i="11"/>
  <c r="GQ24" i="13"/>
  <c r="GQ22" i="13"/>
  <c r="FO22" i="11"/>
  <c r="GM40" i="11"/>
  <c r="GP40" i="11"/>
  <c r="GM20" i="11"/>
  <c r="GP20" i="11"/>
  <c r="FO20" i="11"/>
  <c r="JW46" i="11"/>
  <c r="OE46" i="11" s="1"/>
  <c r="JU46" i="11"/>
  <c r="HC46" i="13"/>
  <c r="EI44" i="11"/>
  <c r="JE44" i="11"/>
  <c r="BG44" i="11"/>
  <c r="BK44" i="11" s="1"/>
  <c r="IL44" i="11" s="1"/>
  <c r="OD44" i="11" s="1"/>
  <c r="JW52" i="11"/>
  <c r="OE52" i="11" s="1"/>
  <c r="JH54" i="13"/>
  <c r="HC56" i="13"/>
  <c r="JH60" i="13"/>
  <c r="LG64" i="11"/>
  <c r="R66" i="12"/>
  <c r="S66" i="12" s="1"/>
  <c r="BG72" i="11"/>
  <c r="BK72" i="11" s="1"/>
  <c r="IL72" i="11" s="1"/>
  <c r="OD72" i="11" s="1"/>
  <c r="OF72" i="11" s="1"/>
  <c r="OG72" i="11" s="1"/>
  <c r="EH72" i="11"/>
  <c r="EE72" i="11"/>
  <c r="BD72" i="11"/>
  <c r="BH72" i="11" s="1"/>
  <c r="BL72" i="11" s="1"/>
  <c r="IS70" i="13"/>
  <c r="R64" i="12"/>
  <c r="S64" i="12" s="1"/>
  <c r="LK70" i="11"/>
  <c r="LL70" i="11"/>
  <c r="JW68" i="11"/>
  <c r="OE68" i="11" s="1"/>
  <c r="LL68" i="11"/>
  <c r="LK68" i="11"/>
  <c r="BD68" i="11"/>
  <c r="BH68" i="11" s="1"/>
  <c r="BL68" i="11" s="1"/>
  <c r="BG68" i="11"/>
  <c r="BK68" i="11" s="1"/>
  <c r="IL68" i="11" s="1"/>
  <c r="OD68" i="11" s="1"/>
  <c r="EH68" i="11"/>
  <c r="EE68" i="11"/>
  <c r="EH66" i="11"/>
  <c r="LL66" i="11"/>
  <c r="R60" i="12"/>
  <c r="S60" i="12" s="1"/>
  <c r="LK66" i="11"/>
  <c r="EE66" i="11"/>
  <c r="EF66" i="11" s="1"/>
  <c r="BG66" i="11"/>
  <c r="BK66" i="11" s="1"/>
  <c r="IL66" i="11" s="1"/>
  <c r="OD66" i="11" s="1"/>
  <c r="OF66" i="11" s="1"/>
  <c r="OG66" i="11" s="1"/>
  <c r="LH66" i="11"/>
  <c r="LI66" i="11" s="1"/>
  <c r="IS66" i="13"/>
  <c r="LH64" i="11"/>
  <c r="LI64" i="11" s="1"/>
  <c r="IS64" i="13"/>
  <c r="JT64" i="11"/>
  <c r="HC64" i="13"/>
  <c r="BC64" i="11"/>
  <c r="DF64" i="13"/>
  <c r="LR64" i="11"/>
  <c r="LS64" i="11" s="1"/>
  <c r="JH64" i="13"/>
  <c r="FN64" i="11"/>
  <c r="FD64" i="11"/>
  <c r="RL64" i="11" s="1"/>
  <c r="RM64" i="11" s="1"/>
  <c r="R56" i="12"/>
  <c r="S56" i="12" s="1"/>
  <c r="LK62" i="11"/>
  <c r="LL62" i="11"/>
  <c r="EH62" i="11"/>
  <c r="JE62" i="11" s="1"/>
  <c r="GF62" i="11" s="1"/>
  <c r="BG62" i="11"/>
  <c r="BK62" i="11" s="1"/>
  <c r="IL62" i="11" s="1"/>
  <c r="OD62" i="11" s="1"/>
  <c r="OF62" i="11" s="1"/>
  <c r="OG62" i="11" s="1"/>
  <c r="FN60" i="11"/>
  <c r="FD60" i="11"/>
  <c r="RL60" i="11" s="1"/>
  <c r="RM60" i="11" s="1"/>
  <c r="IS60" i="13"/>
  <c r="LH60" i="11"/>
  <c r="LI60" i="11" s="1"/>
  <c r="IL60" i="11"/>
  <c r="OD60" i="11" s="1"/>
  <c r="OF60" i="11"/>
  <c r="OG60" i="11" s="1"/>
  <c r="LR58" i="11"/>
  <c r="LS58" i="11" s="1"/>
  <c r="JH58" i="13"/>
  <c r="JT58" i="11"/>
  <c r="HC58" i="13"/>
  <c r="BC58" i="11"/>
  <c r="DF58" i="13"/>
  <c r="JU56" i="11"/>
  <c r="JW56" i="11"/>
  <c r="OE56" i="11" s="1"/>
  <c r="BC56" i="11"/>
  <c r="DF56" i="13"/>
  <c r="BG54" i="11"/>
  <c r="BK54" i="11" s="1"/>
  <c r="IL54" i="11" s="1"/>
  <c r="OD54" i="11" s="1"/>
  <c r="OF54" i="11" s="1"/>
  <c r="OG54" i="11" s="1"/>
  <c r="R48" i="12"/>
  <c r="S48" i="12" s="1"/>
  <c r="EH54" i="11"/>
  <c r="BD54" i="11"/>
  <c r="BH54" i="11" s="1"/>
  <c r="BL54" i="11" s="1"/>
  <c r="EE54" i="11"/>
  <c r="EF54" i="11" s="1"/>
  <c r="IX54" i="11"/>
  <c r="FY54" i="11" s="1"/>
  <c r="LG52" i="11"/>
  <c r="LL52" i="11"/>
  <c r="LK52" i="11"/>
  <c r="R46" i="12"/>
  <c r="S46" i="12" s="1"/>
  <c r="EE52" i="11"/>
  <c r="BD52" i="11"/>
  <c r="BH52" i="11" s="1"/>
  <c r="BL52" i="11" s="1"/>
  <c r="BG52" i="11"/>
  <c r="BK52" i="11" s="1"/>
  <c r="IL52" i="11" s="1"/>
  <c r="OD52" i="11" s="1"/>
  <c r="EH52" i="11"/>
  <c r="IX50" i="11"/>
  <c r="FY50" i="11" s="1"/>
  <c r="BG50" i="11"/>
  <c r="BK50" i="11" s="1"/>
  <c r="IL50" i="11" s="1"/>
  <c r="OD50" i="11" s="1"/>
  <c r="OF50" i="11" s="1"/>
  <c r="OG50" i="11" s="1"/>
  <c r="BD50" i="11"/>
  <c r="BH50" i="11" s="1"/>
  <c r="BL50" i="11" s="1"/>
  <c r="FD48" i="11"/>
  <c r="RL48" i="11" s="1"/>
  <c r="RM48" i="11" s="1"/>
  <c r="FN48" i="11"/>
  <c r="EE48" i="11"/>
  <c r="EF48" i="11" s="1"/>
  <c r="LG48" i="11"/>
  <c r="LG46" i="11"/>
  <c r="BD46" i="11"/>
  <c r="BH46" i="11" s="1"/>
  <c r="BL46" i="11" s="1"/>
  <c r="LL46" i="11"/>
  <c r="LK46" i="11"/>
  <c r="R40" i="12"/>
  <c r="S40" i="12" s="1"/>
  <c r="EH46" i="11"/>
  <c r="EI46" i="11" s="1"/>
  <c r="EE46" i="11"/>
  <c r="EE44" i="11"/>
  <c r="R38" i="12"/>
  <c r="S38" i="12" s="1"/>
  <c r="GF44" i="11"/>
  <c r="GG44" i="11" s="1"/>
  <c r="EE42" i="11"/>
  <c r="R36" i="12"/>
  <c r="S36" i="12" s="1"/>
  <c r="EH42" i="11"/>
  <c r="BG42" i="11"/>
  <c r="BK42" i="11" s="1"/>
  <c r="IL42" i="11" s="1"/>
  <c r="OD42" i="11" s="1"/>
  <c r="OF42" i="11" s="1"/>
  <c r="OG42" i="11" s="1"/>
  <c r="R34" i="12"/>
  <c r="S34" i="12" s="1"/>
  <c r="BD40" i="11"/>
  <c r="BH40" i="11" s="1"/>
  <c r="BL40" i="11" s="1"/>
  <c r="BG40" i="11"/>
  <c r="BK40" i="11" s="1"/>
  <c r="IL40" i="11" s="1"/>
  <c r="OD40" i="11" s="1"/>
  <c r="OF40" i="11" s="1"/>
  <c r="OG40" i="11" s="1"/>
  <c r="EH40" i="11"/>
  <c r="EE40" i="11"/>
  <c r="OF38" i="11"/>
  <c r="OG38" i="11" s="1"/>
  <c r="EF38" i="11"/>
  <c r="IX38" i="11"/>
  <c r="FY38" i="11" s="1"/>
  <c r="FZ38" i="11" s="1"/>
  <c r="RM36" i="11"/>
  <c r="EE60" i="11"/>
  <c r="R54" i="12"/>
  <c r="S54" i="12" s="1"/>
  <c r="BD60" i="11"/>
  <c r="BH60" i="11" s="1"/>
  <c r="BL60" i="11" s="1"/>
  <c r="EH60" i="11"/>
  <c r="JG18" i="11"/>
  <c r="JF18" i="11"/>
  <c r="GA94" i="11"/>
  <c r="GB94" i="11" s="1"/>
  <c r="FZ94" i="11"/>
  <c r="GA96" i="11"/>
  <c r="GB96" i="11" s="1"/>
  <c r="FZ96" i="11"/>
  <c r="GA84" i="11"/>
  <c r="GB84" i="11" s="1"/>
  <c r="FZ84" i="11"/>
  <c r="GA82" i="11"/>
  <c r="GB82" i="11" s="1"/>
  <c r="FZ82" i="11"/>
  <c r="GA78" i="11"/>
  <c r="GB78" i="11" s="1"/>
  <c r="FZ78" i="11"/>
  <c r="IZ18" i="11"/>
  <c r="JA18" i="11" s="1"/>
  <c r="IY18" i="11"/>
  <c r="GU24" i="11"/>
  <c r="FO24" i="11"/>
  <c r="GU32" i="11"/>
  <c r="FO32" i="11"/>
  <c r="FP32" i="11"/>
  <c r="FS32" i="11" s="1"/>
  <c r="FP24" i="11"/>
  <c r="FS24" i="11" s="1"/>
  <c r="OF94" i="11"/>
  <c r="OG94" i="11" s="1"/>
  <c r="OF80" i="11"/>
  <c r="OG80" i="11" s="1"/>
  <c r="MZ24" i="11"/>
  <c r="MZ28" i="11"/>
  <c r="GF96" i="11"/>
  <c r="GH96" i="11" s="1"/>
  <c r="GI96" i="11" s="1"/>
  <c r="GF84" i="11"/>
  <c r="GH84" i="11" s="1"/>
  <c r="GI84" i="11" s="1"/>
  <c r="OF44" i="11"/>
  <c r="OG44" i="11" s="1"/>
  <c r="FY98" i="11"/>
  <c r="FY86" i="11"/>
  <c r="GF94" i="11"/>
  <c r="GH94" i="11" s="1"/>
  <c r="GI94" i="11" s="1"/>
  <c r="IX76" i="11"/>
  <c r="LG100" i="11"/>
  <c r="IS100" i="13" s="1"/>
  <c r="FY90" i="11"/>
  <c r="LH100" i="11"/>
  <c r="LI100" i="11" s="1"/>
  <c r="LK100" i="11"/>
  <c r="LL100" i="11"/>
  <c r="EH100" i="11"/>
  <c r="BD100" i="11"/>
  <c r="BH100" i="11" s="1"/>
  <c r="BL100" i="11" s="1"/>
  <c r="EE100" i="11"/>
  <c r="BG100" i="11"/>
  <c r="BK100" i="11" s="1"/>
  <c r="IL100" i="11" s="1"/>
  <c r="OD100" i="11" s="1"/>
  <c r="OF100" i="11" s="1"/>
  <c r="OG100" i="11" s="1"/>
  <c r="EF80" i="11"/>
  <c r="IX80" i="11"/>
  <c r="FY80" i="11" s="1"/>
  <c r="FY88" i="11"/>
  <c r="EF70" i="11"/>
  <c r="IX70" i="11"/>
  <c r="FY70" i="11" s="1"/>
  <c r="GF38" i="11"/>
  <c r="FY92" i="11"/>
  <c r="GF86" i="11"/>
  <c r="GH86" i="11" s="1"/>
  <c r="GI86" i="11" s="1"/>
  <c r="FY76" i="11"/>
  <c r="EI70" i="11"/>
  <c r="JE70" i="11"/>
  <c r="GF70" i="11" s="1"/>
  <c r="EF62" i="11"/>
  <c r="IX62" i="11"/>
  <c r="FY62" i="11" s="1"/>
  <c r="GF90" i="11"/>
  <c r="GH90" i="11" s="1"/>
  <c r="GI90" i="11" s="1"/>
  <c r="GF78" i="11"/>
  <c r="GH78" i="11" s="1"/>
  <c r="GI78" i="11" s="1"/>
  <c r="EI48" i="11"/>
  <c r="JE48" i="11"/>
  <c r="GF48" i="11" s="1"/>
  <c r="GM28" i="11"/>
  <c r="GP28" i="11"/>
  <c r="GM24" i="11"/>
  <c r="GO24" i="11"/>
  <c r="GM22"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QN36" i="11"/>
  <c r="QO36" i="11" s="1"/>
  <c r="QL36" i="11"/>
  <c r="QM36" i="11" s="1"/>
  <c r="QJ36" i="11"/>
  <c r="QK36" i="11" s="1"/>
  <c r="QH36" i="11"/>
  <c r="QI36" i="11" s="1"/>
  <c r="QE36" i="11"/>
  <c r="QF36" i="11" s="1"/>
  <c r="JS36" i="11"/>
  <c r="LQ36" i="11"/>
  <c r="AT36" i="11"/>
  <c r="AN36" i="11"/>
  <c r="QR36" i="11" s="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QR34" i="11" s="1"/>
  <c r="DH34" i="11"/>
  <c r="DI34" i="11" s="1"/>
  <c r="BB34" i="11"/>
  <c r="DV34" i="11"/>
  <c r="DS34" i="11"/>
  <c r="JM34" i="11"/>
  <c r="MH34" i="11"/>
  <c r="ES34" i="11"/>
  <c r="FS34" i="11"/>
  <c r="QN32" i="11"/>
  <c r="QO32" i="11" s="1"/>
  <c r="QL32" i="11"/>
  <c r="QM32" i="11" s="1"/>
  <c r="QJ32" i="11"/>
  <c r="QK32" i="11" s="1"/>
  <c r="QH32" i="11"/>
  <c r="QI32" i="11" s="1"/>
  <c r="QE32" i="11"/>
  <c r="QF32" i="11" s="1"/>
  <c r="JS32" i="11"/>
  <c r="AN32" i="11"/>
  <c r="QR32" i="11" s="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R24" i="11" s="1"/>
  <c r="DH24" i="11"/>
  <c r="DI24" i="11" s="1"/>
  <c r="BB24" i="11"/>
  <c r="DV24" i="11"/>
  <c r="DS24" i="11"/>
  <c r="MB24" i="11"/>
  <c r="EP24" i="11"/>
  <c r="MH24" i="11"/>
  <c r="ES24" i="11"/>
  <c r="FS22"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AU20" i="11" s="1"/>
  <c r="DV20" i="11"/>
  <c r="DS20" i="11"/>
  <c r="BB20" i="11"/>
  <c r="DH20" i="11"/>
  <c r="DI20" i="11" s="1"/>
  <c r="O14" i="12"/>
  <c r="P14" i="12" s="1"/>
  <c r="MB20" i="11"/>
  <c r="EP20" i="11"/>
  <c r="FS20" i="11"/>
  <c r="RT18" i="11"/>
  <c r="MK18" i="11"/>
  <c r="ME18" i="11"/>
  <c r="JH18" i="11"/>
  <c r="EI62" i="11" l="1"/>
  <c r="LH62" i="11"/>
  <c r="LI62" i="11" s="1"/>
  <c r="JU70" i="11"/>
  <c r="JW70" i="11"/>
  <c r="OE70" i="11" s="1"/>
  <c r="OF70" i="11" s="1"/>
  <c r="OG70" i="11" s="1"/>
  <c r="OF74" i="11"/>
  <c r="OG74" i="11" s="1"/>
  <c r="EF74" i="11"/>
  <c r="IX74" i="11"/>
  <c r="FY74" i="11" s="1"/>
  <c r="GA74" i="11" s="1"/>
  <c r="GB74" i="11" s="1"/>
  <c r="EI74" i="11"/>
  <c r="JE74" i="11"/>
  <c r="GF74" i="11" s="1"/>
  <c r="LH74" i="11"/>
  <c r="LI74" i="11" s="1"/>
  <c r="IS74" i="13"/>
  <c r="LM76" i="11"/>
  <c r="EI76" i="11"/>
  <c r="JE76" i="11"/>
  <c r="GF76" i="11" s="1"/>
  <c r="LH76" i="11"/>
  <c r="LI76" i="11" s="1"/>
  <c r="IS76" i="13"/>
  <c r="GH76" i="11"/>
  <c r="GI76" i="11" s="1"/>
  <c r="GG76" i="11"/>
  <c r="IS68" i="13"/>
  <c r="LM52" i="11"/>
  <c r="IY52" i="13" s="1"/>
  <c r="R44" i="12"/>
  <c r="S44" i="12" s="1"/>
  <c r="EH50" i="11"/>
  <c r="EI50" i="11" s="1"/>
  <c r="QU30" i="11"/>
  <c r="QR30" i="11"/>
  <c r="LM62" i="11"/>
  <c r="IY62" i="13" s="1"/>
  <c r="LM70" i="11"/>
  <c r="IY70" i="13" s="1"/>
  <c r="LM68" i="11"/>
  <c r="IY68" i="13" s="1"/>
  <c r="OF46" i="11"/>
  <c r="OG46" i="11" s="1"/>
  <c r="OF52" i="11"/>
  <c r="OG52" i="11" s="1"/>
  <c r="OF68" i="11"/>
  <c r="OG68" i="11" s="1"/>
  <c r="LM46" i="11"/>
  <c r="LN46" i="11" s="1"/>
  <c r="LO46" i="11" s="1"/>
  <c r="GH44" i="11"/>
  <c r="GI44" i="11" s="1"/>
  <c r="EI72" i="11"/>
  <c r="JE72" i="11"/>
  <c r="GF72" i="11" s="1"/>
  <c r="EF72" i="11"/>
  <c r="IX72" i="11"/>
  <c r="FY72" i="11" s="1"/>
  <c r="GH70" i="11"/>
  <c r="GI70" i="11" s="1"/>
  <c r="GG70" i="11"/>
  <c r="EF68" i="11"/>
  <c r="IX68" i="11"/>
  <c r="FY68" i="11" s="1"/>
  <c r="LN68" i="11"/>
  <c r="LO68" i="11" s="1"/>
  <c r="EI68" i="11"/>
  <c r="JE68" i="11"/>
  <c r="GF68" i="11" s="1"/>
  <c r="GG68" i="11" s="1"/>
  <c r="EI66" i="11"/>
  <c r="JE66" i="11"/>
  <c r="GF66" i="11" s="1"/>
  <c r="GH66" i="11" s="1"/>
  <c r="GI66" i="11" s="1"/>
  <c r="LM66" i="11"/>
  <c r="IX66" i="11"/>
  <c r="FY66" i="11" s="1"/>
  <c r="JU64" i="11"/>
  <c r="JW64" i="11"/>
  <c r="OE64" i="11" s="1"/>
  <c r="FO64" i="11"/>
  <c r="FP64" i="11"/>
  <c r="FS64" i="11" s="1"/>
  <c r="GL64" i="11"/>
  <c r="GM64" i="11" s="1"/>
  <c r="GU64" i="11"/>
  <c r="BG64" i="11"/>
  <c r="BK64" i="11" s="1"/>
  <c r="IL64" i="11" s="1"/>
  <c r="OD64" i="11" s="1"/>
  <c r="R58" i="12"/>
  <c r="S58" i="12" s="1"/>
  <c r="BD64" i="11"/>
  <c r="BH64" i="11" s="1"/>
  <c r="BL64" i="11" s="1"/>
  <c r="EH64" i="11"/>
  <c r="EE64" i="11"/>
  <c r="GH62" i="11"/>
  <c r="GI62" i="11" s="1"/>
  <c r="GG62" i="11"/>
  <c r="GU60" i="11"/>
  <c r="FP60" i="11"/>
  <c r="FS60" i="11" s="1"/>
  <c r="FO60" i="11"/>
  <c r="GL60" i="11"/>
  <c r="GM60" i="11" s="1"/>
  <c r="JU58" i="11"/>
  <c r="JW58" i="11"/>
  <c r="OE58" i="11" s="1"/>
  <c r="BG58" i="11"/>
  <c r="BK58" i="11" s="1"/>
  <c r="IL58" i="11" s="1"/>
  <c r="OD58" i="11" s="1"/>
  <c r="R52" i="12"/>
  <c r="S52" i="12" s="1"/>
  <c r="BD58" i="11"/>
  <c r="BH58" i="11" s="1"/>
  <c r="BL58" i="11" s="1"/>
  <c r="EH58" i="11"/>
  <c r="EE58" i="11"/>
  <c r="R50" i="12"/>
  <c r="S50" i="12" s="1"/>
  <c r="BG56" i="11"/>
  <c r="BK56" i="11" s="1"/>
  <c r="IL56" i="11" s="1"/>
  <c r="OD56" i="11" s="1"/>
  <c r="OF56" i="11" s="1"/>
  <c r="OG56" i="11" s="1"/>
  <c r="EH56" i="11"/>
  <c r="EE56" i="11"/>
  <c r="BD56" i="11"/>
  <c r="BH56" i="11" s="1"/>
  <c r="BL56" i="11" s="1"/>
  <c r="EI54" i="11"/>
  <c r="JE54" i="11"/>
  <c r="GF54" i="11" s="1"/>
  <c r="GG54" i="11" s="1"/>
  <c r="GH54" i="11"/>
  <c r="GI54" i="11" s="1"/>
  <c r="EI52" i="11"/>
  <c r="JE52" i="11"/>
  <c r="GF52" i="11" s="1"/>
  <c r="GH52" i="11" s="1"/>
  <c r="GI52" i="11" s="1"/>
  <c r="EF52" i="11"/>
  <c r="IX52" i="11"/>
  <c r="FY52" i="11" s="1"/>
  <c r="GA52" i="11" s="1"/>
  <c r="GB52" i="11" s="1"/>
  <c r="LH52" i="11"/>
  <c r="LI52" i="11" s="1"/>
  <c r="IS52" i="13"/>
  <c r="FO48" i="11"/>
  <c r="GL48" i="11"/>
  <c r="GM48" i="11" s="1"/>
  <c r="FP48" i="11"/>
  <c r="FS48" i="11" s="1"/>
  <c r="GU48" i="11"/>
  <c r="IX48" i="11"/>
  <c r="FY48" i="11" s="1"/>
  <c r="LH48" i="11"/>
  <c r="LI48" i="11" s="1"/>
  <c r="IS48" i="13"/>
  <c r="GH48" i="11"/>
  <c r="GI48" i="11" s="1"/>
  <c r="GG48" i="11"/>
  <c r="LH46" i="11"/>
  <c r="LI46" i="11" s="1"/>
  <c r="IS46" i="13"/>
  <c r="JE46" i="11"/>
  <c r="GF46" i="11" s="1"/>
  <c r="EF46" i="11"/>
  <c r="IX46" i="11"/>
  <c r="FY46" i="11" s="1"/>
  <c r="FZ46" i="11" s="1"/>
  <c r="EF44" i="11"/>
  <c r="IX44" i="11"/>
  <c r="FY44" i="11" s="1"/>
  <c r="EI42" i="11"/>
  <c r="JE42" i="11"/>
  <c r="GF42" i="11" s="1"/>
  <c r="EF42" i="11"/>
  <c r="IX42" i="11"/>
  <c r="FY42" i="11" s="1"/>
  <c r="EI40" i="11"/>
  <c r="JE40" i="11"/>
  <c r="GF40" i="11" s="1"/>
  <c r="GH40" i="11" s="1"/>
  <c r="GI40" i="11" s="1"/>
  <c r="EF40" i="11"/>
  <c r="IX40" i="11"/>
  <c r="FY40" i="11" s="1"/>
  <c r="GA40" i="11" s="1"/>
  <c r="GB40" i="11" s="1"/>
  <c r="GA38" i="11"/>
  <c r="GB38" i="11" s="1"/>
  <c r="AU36" i="11"/>
  <c r="QU36" i="11"/>
  <c r="AU34" i="11"/>
  <c r="QU34" i="11"/>
  <c r="AU32" i="11"/>
  <c r="QU32" i="11"/>
  <c r="AU26" i="11"/>
  <c r="QR26" i="11"/>
  <c r="AU22" i="11"/>
  <c r="QR22" i="11"/>
  <c r="EI60" i="11"/>
  <c r="JE60" i="11"/>
  <c r="GF60" i="11" s="1"/>
  <c r="EF60" i="11"/>
  <c r="IX60" i="11"/>
  <c r="FY60" i="11" s="1"/>
  <c r="GA60" i="11" s="1"/>
  <c r="GB60" i="11" s="1"/>
  <c r="GH38" i="11"/>
  <c r="GI38" i="11" s="1"/>
  <c r="GG38" i="11"/>
  <c r="GA50" i="11"/>
  <c r="GB50" i="11" s="1"/>
  <c r="FZ50" i="11"/>
  <c r="GA62" i="11"/>
  <c r="GB62" i="11" s="1"/>
  <c r="FZ62" i="11"/>
  <c r="GA46" i="11"/>
  <c r="GB46" i="11" s="1"/>
  <c r="GA88" i="11"/>
  <c r="GB88" i="11" s="1"/>
  <c r="FZ88" i="11"/>
  <c r="GA80" i="11"/>
  <c r="GB80" i="11" s="1"/>
  <c r="FZ80" i="11"/>
  <c r="GA90" i="11"/>
  <c r="GB90" i="11" s="1"/>
  <c r="FZ90" i="11"/>
  <c r="GA98" i="11"/>
  <c r="GB98" i="11" s="1"/>
  <c r="FZ98" i="11"/>
  <c r="GA48" i="11"/>
  <c r="GB48" i="11" s="1"/>
  <c r="FZ48" i="11"/>
  <c r="GA76" i="11"/>
  <c r="GB76" i="11" s="1"/>
  <c r="FZ76" i="11"/>
  <c r="GA92" i="11"/>
  <c r="GB92" i="11" s="1"/>
  <c r="FZ92" i="11"/>
  <c r="GA70" i="11"/>
  <c r="GB70" i="11" s="1"/>
  <c r="FZ70" i="11"/>
  <c r="GA54" i="11"/>
  <c r="GB54" i="11" s="1"/>
  <c r="FZ54" i="11"/>
  <c r="FZ40" i="11"/>
  <c r="GA44" i="11"/>
  <c r="GB44" i="11" s="1"/>
  <c r="FZ44" i="1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32" i="13" l="1"/>
  <c r="LN52" i="11"/>
  <c r="LO52" i="11" s="1"/>
  <c r="LN62" i="11"/>
  <c r="LO62" i="11" s="1"/>
  <c r="LN70" i="11"/>
  <c r="LO70" i="11" s="1"/>
  <c r="FZ74" i="11"/>
  <c r="GH74" i="11"/>
  <c r="GI74" i="11" s="1"/>
  <c r="GG74" i="11"/>
  <c r="LN76" i="11"/>
  <c r="LO76" i="11" s="1"/>
  <c r="IY76" i="13"/>
  <c r="OF58" i="11"/>
  <c r="OG58" i="11" s="1"/>
  <c r="JE50" i="11"/>
  <c r="GF50" i="11" s="1"/>
  <c r="GH68" i="11"/>
  <c r="GI68" i="11" s="1"/>
  <c r="GG66" i="11"/>
  <c r="FZ52" i="11"/>
  <c r="IY46" i="13"/>
  <c r="IS36" i="13"/>
  <c r="LH26" i="11"/>
  <c r="LI26" i="11" s="1"/>
  <c r="IS22" i="13"/>
  <c r="OF64" i="11"/>
  <c r="OG64" i="11" s="1"/>
  <c r="GG40" i="11"/>
  <c r="GG52" i="11"/>
  <c r="GA72" i="11"/>
  <c r="GB72" i="11" s="1"/>
  <c r="FZ72" i="11"/>
  <c r="GH72" i="11"/>
  <c r="GI72" i="11" s="1"/>
  <c r="GG72" i="11"/>
  <c r="FZ68" i="11"/>
  <c r="GA68" i="11"/>
  <c r="GB68" i="11" s="1"/>
  <c r="GA66" i="11"/>
  <c r="GB66" i="11" s="1"/>
  <c r="FZ66" i="11"/>
  <c r="LN66" i="11"/>
  <c r="LO66" i="11" s="1"/>
  <c r="IY66" i="13"/>
  <c r="IX64" i="11"/>
  <c r="FY64" i="11" s="1"/>
  <c r="EF64" i="11"/>
  <c r="EI64" i="11"/>
  <c r="JE64" i="11"/>
  <c r="GF64" i="11" s="1"/>
  <c r="FZ60" i="11"/>
  <c r="EF58" i="11"/>
  <c r="IX58" i="11"/>
  <c r="FY58" i="11" s="1"/>
  <c r="EI58" i="11"/>
  <c r="JE58" i="11"/>
  <c r="GF58" i="11" s="1"/>
  <c r="EI56" i="11"/>
  <c r="JE56" i="11"/>
  <c r="GF56" i="11" s="1"/>
  <c r="EF56" i="11"/>
  <c r="IX56" i="11"/>
  <c r="FY56" i="11" s="1"/>
  <c r="GH46" i="11"/>
  <c r="GI46" i="11" s="1"/>
  <c r="GG46" i="11"/>
  <c r="GA42" i="11"/>
  <c r="GB42" i="11" s="1"/>
  <c r="FZ42" i="11"/>
  <c r="GH42" i="11"/>
  <c r="GI42" i="11" s="1"/>
  <c r="GG42" i="11"/>
  <c r="IS34" i="13"/>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GH50" i="11" l="1"/>
  <c r="GI50" i="11" s="1"/>
  <c r="GG50" i="11"/>
  <c r="OF32" i="11"/>
  <c r="OG32" i="11" s="1"/>
  <c r="FZ64" i="11"/>
  <c r="GA64" i="11"/>
  <c r="GB64" i="11" s="1"/>
  <c r="GH64" i="11"/>
  <c r="GI64" i="11" s="1"/>
  <c r="GG64" i="11"/>
  <c r="GG58" i="11"/>
  <c r="GH58" i="11"/>
  <c r="GI58" i="11" s="1"/>
  <c r="GA58" i="11"/>
  <c r="GB58" i="11" s="1"/>
  <c r="FZ58" i="11"/>
  <c r="GH56" i="11"/>
  <c r="GI56" i="11" s="1"/>
  <c r="GG56" i="11"/>
  <c r="GA56" i="11"/>
  <c r="GB56" i="11" s="1"/>
  <c r="FZ56" i="1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IY36" i="13" s="1"/>
  <c r="LM22" i="11"/>
  <c r="LN22" i="11" s="1"/>
  <c r="LO22" i="11" s="1"/>
  <c r="LM20" i="11"/>
  <c r="LN20" i="11" s="1"/>
  <c r="LO20" i="11" s="1"/>
  <c r="OF22" i="11"/>
  <c r="OG22" i="11" s="1"/>
  <c r="EF36" i="11"/>
  <c r="IX36" i="11"/>
  <c r="FY36" i="11" s="1"/>
  <c r="EI36" i="11"/>
  <c r="JE36" i="11"/>
  <c r="GF36" i="11" s="1"/>
  <c r="LN36" i="11"/>
  <c r="LO36" i="11" s="1"/>
  <c r="EF34" i="11"/>
  <c r="IX34" i="11"/>
  <c r="FY34" i="11" s="1"/>
  <c r="EI34" i="11"/>
  <c r="JE34" i="11"/>
  <c r="GF34" i="11" s="1"/>
  <c r="EF32" i="11"/>
  <c r="IX32" i="11"/>
  <c r="FY32" i="11" s="1"/>
  <c r="EI32" i="11"/>
  <c r="JE32" i="11"/>
  <c r="GF32" i="11" s="1"/>
  <c r="LM32" i="11"/>
  <c r="EF30" i="11"/>
  <c r="IX30" i="11"/>
  <c r="FY30" i="11" s="1"/>
  <c r="EI30" i="11"/>
  <c r="JE30" i="11"/>
  <c r="GF30" i="11" s="1"/>
  <c r="IY30" i="13"/>
  <c r="EF28" i="11"/>
  <c r="IX28" i="11"/>
  <c r="FY28" i="11" s="1"/>
  <c r="EI28" i="11"/>
  <c r="JE28" i="11"/>
  <c r="GF28" i="11" s="1"/>
  <c r="LM28" i="11"/>
  <c r="EF26" i="11"/>
  <c r="IX26" i="11"/>
  <c r="FY26" i="11" s="1"/>
  <c r="EI26" i="11"/>
  <c r="JE26" i="11"/>
  <c r="GF26" i="11" s="1"/>
  <c r="LM26" i="11"/>
  <c r="EF24" i="11"/>
  <c r="IX24" i="11"/>
  <c r="FY24" i="11" s="1"/>
  <c r="EI24" i="11"/>
  <c r="JE24" i="11"/>
  <c r="GF24" i="11" s="1"/>
  <c r="IY24" i="13"/>
  <c r="EF22" i="11"/>
  <c r="IX22" i="11"/>
  <c r="FY22" i="11" s="1"/>
  <c r="EI22" i="11"/>
  <c r="JE22" i="11"/>
  <c r="GF22" i="11" s="1"/>
  <c r="EF20" i="11"/>
  <c r="IX20" i="11"/>
  <c r="FY20" i="11" s="1"/>
  <c r="EI20" i="11"/>
  <c r="JE20" i="11"/>
  <c r="GF20" i="11" s="1"/>
  <c r="IY20" i="13"/>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GH36" i="11"/>
  <c r="GI36" i="11" s="1"/>
  <c r="GG36" i="11"/>
  <c r="GH34" i="11"/>
  <c r="GI34" i="11" s="1"/>
  <c r="GG34" i="11"/>
  <c r="GH32" i="11"/>
  <c r="GI32" i="11" s="1"/>
  <c r="GG32" i="11"/>
  <c r="GH28" i="11"/>
  <c r="GI28" i="11" s="1"/>
  <c r="GG28" i="11"/>
  <c r="GH26" i="11"/>
  <c r="GI26" i="11" s="1"/>
  <c r="GG26" i="11"/>
  <c r="GH24" i="11"/>
  <c r="GI24" i="11" s="1"/>
  <c r="GG24" i="11"/>
  <c r="IY22" i="13"/>
  <c r="GH22" i="11"/>
  <c r="GI22" i="11" s="1"/>
  <c r="GG22" i="11"/>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U18" i="11"/>
  <c r="QT18" i="11"/>
  <c r="QS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76" i="11" l="1"/>
  <c r="GQ74" i="11"/>
  <c r="GQ68" i="11"/>
  <c r="GQ70" i="11"/>
  <c r="GQ64" i="11"/>
  <c r="GQ66" i="11"/>
  <c r="GQ60" i="11"/>
  <c r="GQ62" i="11"/>
  <c r="GQ56" i="11"/>
  <c r="GQ58" i="11"/>
  <c r="GQ52" i="11"/>
  <c r="GQ54" i="11"/>
  <c r="GQ48" i="11"/>
  <c r="GQ50" i="11"/>
  <c r="GQ44" i="11"/>
  <c r="GQ46" i="11"/>
  <c r="GQ40" i="1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EP18" i="11" l="1"/>
  <c r="EP102" i="11" s="1"/>
  <c r="J112" i="12" s="1"/>
  <c r="NW18" i="1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N70" i="13" s="1"/>
  <c r="AD64" i="11"/>
  <c r="AE64" i="11" s="1"/>
  <c r="AN64" i="13" s="1"/>
  <c r="AD56" i="11"/>
  <c r="AE56" i="11" s="1"/>
  <c r="AN56" i="13" s="1"/>
  <c r="AD80" i="11"/>
  <c r="AE80" i="11" s="1"/>
  <c r="AD78" i="11"/>
  <c r="AE78" i="11" s="1"/>
  <c r="AD76" i="11"/>
  <c r="AE76" i="11" s="1"/>
  <c r="AN76" i="13" s="1"/>
  <c r="AD74" i="11"/>
  <c r="AE74" i="11" s="1"/>
  <c r="AN74" i="13" s="1"/>
  <c r="AD72" i="11"/>
  <c r="AE72" i="11" s="1"/>
  <c r="AN72" i="13" s="1"/>
  <c r="AD68" i="11"/>
  <c r="AE68" i="11" s="1"/>
  <c r="AN68" i="13" s="1"/>
  <c r="AD66" i="11"/>
  <c r="AE66" i="11" s="1"/>
  <c r="AN66" i="13" s="1"/>
  <c r="AD62" i="11"/>
  <c r="AE62" i="11" s="1"/>
  <c r="AN62" i="13" s="1"/>
  <c r="AD60" i="11"/>
  <c r="AE60" i="11" s="1"/>
  <c r="AN60" i="13" s="1"/>
  <c r="AD58" i="11"/>
  <c r="AE58" i="11" s="1"/>
  <c r="AN58" i="13" s="1"/>
  <c r="AD54" i="11"/>
  <c r="AE54" i="11" s="1"/>
  <c r="AN54" i="13" s="1"/>
  <c r="AD48" i="11"/>
  <c r="AE48" i="11" s="1"/>
  <c r="AN48" i="13" s="1"/>
  <c r="AD46" i="11"/>
  <c r="AE46" i="11" s="1"/>
  <c r="AN46" i="13" s="1"/>
  <c r="AD44" i="11"/>
  <c r="AE44" i="11" s="1"/>
  <c r="AN44" i="13" s="1"/>
  <c r="AD42" i="11"/>
  <c r="AE42" i="11" s="1"/>
  <c r="AN42" i="13" s="1"/>
  <c r="AD40" i="11"/>
  <c r="AE40" i="11" s="1"/>
  <c r="AN40" i="13" s="1"/>
  <c r="AD52" i="11"/>
  <c r="AE52" i="11" s="1"/>
  <c r="AN52" i="13" s="1"/>
  <c r="AD50" i="11"/>
  <c r="AE50" i="11" s="1"/>
  <c r="AN50" i="13"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AF42" i="11"/>
  <c r="DJ42" i="11"/>
  <c r="DK42" i="11" s="1"/>
  <c r="AF46" i="11"/>
  <c r="DJ46" i="11"/>
  <c r="DK46" i="11" s="1"/>
  <c r="AF54" i="11"/>
  <c r="DJ54" i="11"/>
  <c r="DK54" i="11" s="1"/>
  <c r="AF60" i="11"/>
  <c r="DJ60" i="11"/>
  <c r="DK60" i="11" s="1"/>
  <c r="AF66" i="11"/>
  <c r="DJ66" i="11"/>
  <c r="DK66" i="11" s="1"/>
  <c r="AF72" i="11"/>
  <c r="DJ72" i="11"/>
  <c r="DK72" i="11" s="1"/>
  <c r="DJ76" i="11"/>
  <c r="DK76" i="11" s="1"/>
  <c r="AF76" i="11"/>
  <c r="AF80" i="11"/>
  <c r="DJ80" i="11"/>
  <c r="DK80" i="11" s="1"/>
  <c r="DL80" i="11" s="1"/>
  <c r="AF64" i="11"/>
  <c r="DJ64" i="11"/>
  <c r="DK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AF40" i="11"/>
  <c r="DJ40" i="11"/>
  <c r="DK40" i="11" s="1"/>
  <c r="AF44" i="11"/>
  <c r="DJ44" i="11"/>
  <c r="DK44" i="11" s="1"/>
  <c r="AF48" i="11"/>
  <c r="DJ48" i="11"/>
  <c r="DK48" i="11" s="1"/>
  <c r="AF58" i="11"/>
  <c r="DJ58" i="11"/>
  <c r="DK58" i="11" s="1"/>
  <c r="AF62" i="11"/>
  <c r="DJ62" i="11"/>
  <c r="DK62" i="11" s="1"/>
  <c r="AF68" i="11"/>
  <c r="DJ68" i="11"/>
  <c r="DK68" i="11" s="1"/>
  <c r="AF74" i="11"/>
  <c r="DJ74" i="11"/>
  <c r="DK74" i="11" s="1"/>
  <c r="AF78" i="11"/>
  <c r="DJ78" i="11"/>
  <c r="DK78" i="11" s="1"/>
  <c r="DL78" i="11" s="1"/>
  <c r="DJ56" i="11"/>
  <c r="DK56" i="11" s="1"/>
  <c r="AF56" i="11"/>
  <c r="AF70" i="11"/>
  <c r="DJ70" i="11"/>
  <c r="DK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74" i="11" l="1"/>
  <c r="DN74" i="11" s="1"/>
  <c r="CN74" i="13"/>
  <c r="DL76" i="11"/>
  <c r="DY76" i="11" s="1"/>
  <c r="EA76" i="11" s="1"/>
  <c r="EB76" i="11" s="1"/>
  <c r="EC76" i="11" s="1"/>
  <c r="CN76" i="13"/>
  <c r="DL72" i="11"/>
  <c r="CN72" i="13"/>
  <c r="DL70" i="11"/>
  <c r="DY70" i="11" s="1"/>
  <c r="EA70" i="11" s="1"/>
  <c r="EB70" i="11" s="1"/>
  <c r="EC70" i="11" s="1"/>
  <c r="CN70" i="13"/>
  <c r="DL68" i="11"/>
  <c r="DY68" i="11" s="1"/>
  <c r="EA68" i="11" s="1"/>
  <c r="EB68" i="11" s="1"/>
  <c r="EC68" i="11" s="1"/>
  <c r="CN68" i="13"/>
  <c r="DL66" i="11"/>
  <c r="DY66" i="11" s="1"/>
  <c r="EA66" i="11" s="1"/>
  <c r="EB66" i="11" s="1"/>
  <c r="EC66" i="11" s="1"/>
  <c r="CN66" i="13"/>
  <c r="DL64" i="11"/>
  <c r="DN64" i="11" s="1"/>
  <c r="CN64" i="13"/>
  <c r="DL62" i="11"/>
  <c r="DY62" i="11" s="1"/>
  <c r="EA62" i="11" s="1"/>
  <c r="EB62" i="11" s="1"/>
  <c r="EC62" i="11" s="1"/>
  <c r="CN62" i="13"/>
  <c r="DL58" i="11"/>
  <c r="DY58" i="11" s="1"/>
  <c r="EA58" i="11" s="1"/>
  <c r="EB58" i="11" s="1"/>
  <c r="EC58" i="11" s="1"/>
  <c r="CN58" i="13"/>
  <c r="DL56" i="11"/>
  <c r="DN56" i="11" s="1"/>
  <c r="CN56" i="13"/>
  <c r="DL54" i="11"/>
  <c r="DY54" i="11" s="1"/>
  <c r="EA54" i="11" s="1"/>
  <c r="EB54" i="11" s="1"/>
  <c r="EC54" i="11" s="1"/>
  <c r="CN54" i="13"/>
  <c r="DL52" i="11"/>
  <c r="DN52" i="11" s="1"/>
  <c r="CN52" i="13"/>
  <c r="DL50" i="11"/>
  <c r="DY50" i="11" s="1"/>
  <c r="EA50" i="11" s="1"/>
  <c r="EB50" i="11" s="1"/>
  <c r="EC50" i="11" s="1"/>
  <c r="CN50" i="13"/>
  <c r="DL48" i="11"/>
  <c r="DN48" i="11" s="1"/>
  <c r="CN48" i="13"/>
  <c r="DL46" i="11"/>
  <c r="DY46" i="11" s="1"/>
  <c r="EA46" i="11" s="1"/>
  <c r="EB46" i="11" s="1"/>
  <c r="EC46" i="11" s="1"/>
  <c r="CN46" i="13"/>
  <c r="DL44" i="11"/>
  <c r="DN44" i="11" s="1"/>
  <c r="CN44" i="13"/>
  <c r="DL42" i="11"/>
  <c r="CN42" i="13"/>
  <c r="DL40" i="11"/>
  <c r="DY40" i="11" s="1"/>
  <c r="EA40" i="11" s="1"/>
  <c r="EB40" i="11" s="1"/>
  <c r="EC40" i="11" s="1"/>
  <c r="CN40" i="13"/>
  <c r="DL36" i="11"/>
  <c r="DN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N58"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80" i="11"/>
  <c r="DY80" i="11"/>
  <c r="EA80" i="11" s="1"/>
  <c r="EB80" i="11" s="1"/>
  <c r="EC80" i="11" s="1"/>
  <c r="DY72" i="11"/>
  <c r="EA72" i="11" s="1"/>
  <c r="EB72" i="11" s="1"/>
  <c r="EC72" i="11" s="1"/>
  <c r="DN72" i="11"/>
  <c r="DN60" i="11"/>
  <c r="DN54" i="11"/>
  <c r="DY42" i="11"/>
  <c r="EA42" i="11" s="1"/>
  <c r="EB42" i="11" s="1"/>
  <c r="EC42" i="11" s="1"/>
  <c r="DN42" i="11"/>
  <c r="DY38" i="11"/>
  <c r="EA38" i="11" s="1"/>
  <c r="EB38" i="11" s="1"/>
  <c r="EC38" i="11" s="1"/>
  <c r="DN38" i="11"/>
  <c r="DY96" i="11"/>
  <c r="EA96" i="11" s="1"/>
  <c r="EB96" i="11" s="1"/>
  <c r="EC96" i="11" s="1"/>
  <c r="DN96" i="11"/>
  <c r="DL100" i="11"/>
  <c r="CN100" i="13"/>
  <c r="DY90" i="11"/>
  <c r="EA90" i="11" s="1"/>
  <c r="EB90" i="11" s="1"/>
  <c r="EC90" i="11" s="1"/>
  <c r="DN90" i="11"/>
  <c r="DY86" i="11"/>
  <c r="EA86" i="11" s="1"/>
  <c r="EB86" i="11" s="1"/>
  <c r="EC86" i="11" s="1"/>
  <c r="DN86" i="11"/>
  <c r="DN76" i="11"/>
  <c r="DL30" i="11"/>
  <c r="DN30" i="11" s="1"/>
  <c r="CN30" i="13"/>
  <c r="DL28" i="11"/>
  <c r="DN28" i="11" s="1"/>
  <c r="CN28" i="13"/>
  <c r="DL26" i="11"/>
  <c r="DN26" i="11" s="1"/>
  <c r="CN26" i="13"/>
  <c r="DL24" i="11"/>
  <c r="DN24" i="11" s="1"/>
  <c r="CN24" i="13"/>
  <c r="DL22" i="11"/>
  <c r="DN22" i="11" s="1"/>
  <c r="CN22" i="13"/>
  <c r="DL20" i="11"/>
  <c r="DN20" i="11" s="1"/>
  <c r="CN20" i="13"/>
  <c r="DN34" i="11"/>
  <c r="DY36" i="11"/>
  <c r="EA36" i="11" s="1"/>
  <c r="EB36" i="11" s="1"/>
  <c r="EC36" i="11" s="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Y74" i="11" l="1"/>
  <c r="EA74" i="11" s="1"/>
  <c r="EB74" i="11" s="1"/>
  <c r="EC74" i="11" s="1"/>
  <c r="DN32" i="11"/>
  <c r="DO32" i="11" s="1"/>
  <c r="DN40" i="11"/>
  <c r="DP40" i="11" s="1"/>
  <c r="DN70" i="11"/>
  <c r="DP70" i="11" s="1"/>
  <c r="DN50" i="11"/>
  <c r="DP50" i="11" s="1"/>
  <c r="DN46" i="11"/>
  <c r="DO46" i="11" s="1"/>
  <c r="DN66" i="11"/>
  <c r="DP66" i="11" s="1"/>
  <c r="DN62" i="11"/>
  <c r="DP62" i="11" s="1"/>
  <c r="DY44" i="11"/>
  <c r="EA44" i="11" s="1"/>
  <c r="EB44" i="11" s="1"/>
  <c r="EC44" i="11" s="1"/>
  <c r="DY48" i="11"/>
  <c r="EA48" i="11" s="1"/>
  <c r="EB48" i="11" s="1"/>
  <c r="EC48" i="11" s="1"/>
  <c r="DY52" i="11"/>
  <c r="EA52" i="11" s="1"/>
  <c r="EB52" i="11" s="1"/>
  <c r="EC52" i="11" s="1"/>
  <c r="DN68" i="11"/>
  <c r="DO68" i="11" s="1"/>
  <c r="DY64" i="11"/>
  <c r="EA64" i="11" s="1"/>
  <c r="EB64" i="11" s="1"/>
  <c r="EC64" i="11" s="1"/>
  <c r="DY56" i="11"/>
  <c r="EA56" i="11" s="1"/>
  <c r="EB56" i="11" s="1"/>
  <c r="EC56" i="11" s="1"/>
  <c r="DY26" i="11"/>
  <c r="EA26" i="11" s="1"/>
  <c r="EB26" i="11" s="1"/>
  <c r="EC26"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O96" i="11"/>
  <c r="DP96" i="11"/>
  <c r="DO38" i="11"/>
  <c r="DP38" i="11"/>
  <c r="DP42" i="11"/>
  <c r="DO42" i="11"/>
  <c r="DP54" i="11"/>
  <c r="DO54" i="11"/>
  <c r="DO66" i="11"/>
  <c r="DP72" i="11"/>
  <c r="DO72" i="11"/>
  <c r="DO82" i="11"/>
  <c r="DP82" i="11"/>
  <c r="DP88" i="11"/>
  <c r="DO88" i="11"/>
  <c r="DP92" i="11"/>
  <c r="DO92" i="11"/>
  <c r="DO98" i="11"/>
  <c r="DP98" i="11"/>
  <c r="DO50" i="11"/>
  <c r="DO58" i="11"/>
  <c r="DP58" i="11"/>
  <c r="DP78" i="11"/>
  <c r="DO78" i="11"/>
  <c r="DP94" i="11"/>
  <c r="DO94" i="11"/>
  <c r="DP56" i="11"/>
  <c r="DO56" i="11"/>
  <c r="DY100" i="11"/>
  <c r="EA100" i="11" s="1"/>
  <c r="EB100" i="11" s="1"/>
  <c r="EC100" i="11" s="1"/>
  <c r="DN100" i="11"/>
  <c r="DO74" i="11"/>
  <c r="DP74" i="11"/>
  <c r="DP52" i="11"/>
  <c r="DO52" i="11"/>
  <c r="DO60" i="11"/>
  <c r="DP60" i="11"/>
  <c r="DO80" i="11"/>
  <c r="DP80" i="11"/>
  <c r="DO64" i="11"/>
  <c r="DP64" i="11"/>
  <c r="DO40" i="11"/>
  <c r="DP44" i="11"/>
  <c r="DO44" i="11"/>
  <c r="DP48" i="11"/>
  <c r="DO48" i="11"/>
  <c r="DP84" i="11"/>
  <c r="DO84" i="11"/>
  <c r="DP22" i="11"/>
  <c r="DO22" i="11"/>
  <c r="DP30" i="11"/>
  <c r="DO30" i="11"/>
  <c r="DP32" i="11"/>
  <c r="DP36" i="11"/>
  <c r="DO36" i="11"/>
  <c r="DP24" i="11"/>
  <c r="DO24" i="11"/>
  <c r="DP28" i="11"/>
  <c r="DO28" i="11"/>
  <c r="DP34" i="11"/>
  <c r="DO34"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70" i="11" l="1"/>
  <c r="DO62" i="11"/>
  <c r="DP46" i="11"/>
  <c r="DQ46" i="11" s="1"/>
  <c r="DP68" i="11"/>
  <c r="DQ68" i="11" s="1"/>
  <c r="DQ84" i="11"/>
  <c r="FQ84" i="11"/>
  <c r="DQ48" i="11"/>
  <c r="FQ48" i="11"/>
  <c r="DQ44" i="11"/>
  <c r="FQ44" i="11"/>
  <c r="DQ40" i="11"/>
  <c r="FQ40" i="11"/>
  <c r="DQ52" i="11"/>
  <c r="FQ52" i="11"/>
  <c r="DQ56" i="11"/>
  <c r="FQ56" i="11"/>
  <c r="FQ94" i="11"/>
  <c r="DQ94" i="11"/>
  <c r="FQ78" i="11"/>
  <c r="DQ7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FQ46" i="11" l="1"/>
  <c r="FR46" i="11" s="1"/>
  <c r="FQ68" i="11"/>
  <c r="FT68" i="11" s="1"/>
  <c r="HA58" i="11"/>
  <c r="HI58" i="11" s="1"/>
  <c r="FR58" i="11"/>
  <c r="FT58" i="11"/>
  <c r="HA96" i="11"/>
  <c r="HI96" i="11" s="1"/>
  <c r="FR96" i="11"/>
  <c r="FU96" i="11" s="1"/>
  <c r="FT96" i="11"/>
  <c r="FT38" i="11"/>
  <c r="HA38" i="11"/>
  <c r="HI38" i="11" s="1"/>
  <c r="FR38" i="11"/>
  <c r="HA82" i="11"/>
  <c r="HI82" i="11" s="1"/>
  <c r="FR82" i="11"/>
  <c r="FU82" i="11" s="1"/>
  <c r="FT82" i="11"/>
  <c r="FT98" i="11"/>
  <c r="HA98" i="11"/>
  <c r="HI98" i="11" s="1"/>
  <c r="FR98" i="11"/>
  <c r="FU98" i="11" s="1"/>
  <c r="FR74" i="11"/>
  <c r="HA74" i="11"/>
  <c r="HI74" i="11" s="1"/>
  <c r="FT74" i="11"/>
  <c r="FT80" i="11"/>
  <c r="HA80" i="11"/>
  <c r="HI80" i="11" s="1"/>
  <c r="FR80" i="11"/>
  <c r="FU80" i="11" s="1"/>
  <c r="FT86" i="11"/>
  <c r="HA86" i="11"/>
  <c r="HI86" i="11" s="1"/>
  <c r="FR86" i="11"/>
  <c r="FU86" i="11" s="1"/>
  <c r="HA42" i="11"/>
  <c r="HI42" i="11" s="1"/>
  <c r="FR42" i="11"/>
  <c r="FT42" i="11"/>
  <c r="FT50" i="11"/>
  <c r="HA50" i="11"/>
  <c r="HI50" i="11" s="1"/>
  <c r="FR50" i="11"/>
  <c r="FT78" i="11"/>
  <c r="HA78" i="11"/>
  <c r="HI78" i="11" s="1"/>
  <c r="FR78" i="11"/>
  <c r="FU78" i="11" s="1"/>
  <c r="HA94" i="11"/>
  <c r="HI94" i="11" s="1"/>
  <c r="FR94" i="11"/>
  <c r="FU94" i="11" s="1"/>
  <c r="FT94" i="11"/>
  <c r="FT52" i="11"/>
  <c r="HA52" i="11"/>
  <c r="HI52" i="11" s="1"/>
  <c r="FR52" i="11"/>
  <c r="FT40" i="11"/>
  <c r="HA40" i="11"/>
  <c r="HI40" i="11" s="1"/>
  <c r="FR40" i="11"/>
  <c r="HA44" i="11"/>
  <c r="HI44" i="11" s="1"/>
  <c r="FR44" i="11"/>
  <c r="FT44" i="11"/>
  <c r="FT48" i="11"/>
  <c r="HA48" i="11"/>
  <c r="HI48" i="11" s="1"/>
  <c r="FR48" i="11"/>
  <c r="HA84" i="11"/>
  <c r="HI84" i="11" s="1"/>
  <c r="FR84" i="11"/>
  <c r="FU84" i="11" s="1"/>
  <c r="FT84" i="11"/>
  <c r="HA46" i="11"/>
  <c r="HI46" i="11" s="1"/>
  <c r="FQ100" i="11"/>
  <c r="DQ100" i="11"/>
  <c r="FT60" i="11"/>
  <c r="HA60" i="11"/>
  <c r="HI60" i="11" s="1"/>
  <c r="FR60" i="11"/>
  <c r="HA64" i="11"/>
  <c r="HI64" i="11" s="1"/>
  <c r="FR64" i="11"/>
  <c r="FT64" i="11"/>
  <c r="HA76" i="11"/>
  <c r="HI76" i="11" s="1"/>
  <c r="FR76" i="11"/>
  <c r="FT76" i="11"/>
  <c r="FT90" i="11"/>
  <c r="HA90" i="11"/>
  <c r="HI90" i="11" s="1"/>
  <c r="FR90" i="11"/>
  <c r="FU90" i="11" s="1"/>
  <c r="HA62" i="11"/>
  <c r="HI62" i="11" s="1"/>
  <c r="FR62" i="11"/>
  <c r="FT62" i="11"/>
  <c r="HA70" i="11"/>
  <c r="HI70" i="11" s="1"/>
  <c r="FR70" i="11"/>
  <c r="FT70" i="11"/>
  <c r="FT54" i="11"/>
  <c r="HA54" i="11"/>
  <c r="HI54" i="11" s="1"/>
  <c r="FR54" i="11"/>
  <c r="FT66" i="11"/>
  <c r="HA66" i="11"/>
  <c r="HI66" i="11" s="1"/>
  <c r="FR66" i="11"/>
  <c r="FR72" i="11"/>
  <c r="FT72" i="11"/>
  <c r="HA72" i="11"/>
  <c r="HI72" i="11" s="1"/>
  <c r="HA88" i="11"/>
  <c r="HI88" i="11" s="1"/>
  <c r="FR88" i="11"/>
  <c r="FU88" i="11" s="1"/>
  <c r="FT88" i="11"/>
  <c r="FT92" i="11"/>
  <c r="HA92" i="11"/>
  <c r="HI92" i="11" s="1"/>
  <c r="FR92" i="11"/>
  <c r="FU92" i="11" s="1"/>
  <c r="FR68" i="11"/>
  <c r="HA56" i="11"/>
  <c r="HI56" i="11" s="1"/>
  <c r="FR56" i="1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74" i="11" l="1"/>
  <c r="U68" i="12"/>
  <c r="V68" i="12" s="1"/>
  <c r="FU76" i="11"/>
  <c r="U70" i="12"/>
  <c r="V70" i="12" s="1"/>
  <c r="FT46" i="11"/>
  <c r="FU72" i="11"/>
  <c r="U66" i="12"/>
  <c r="V66" i="12" s="1"/>
  <c r="FU70" i="11"/>
  <c r="U64" i="12"/>
  <c r="V64" i="12" s="1"/>
  <c r="HA68" i="11"/>
  <c r="HI68" i="11" s="1"/>
  <c r="HP68" i="11" s="1"/>
  <c r="FU68" i="11"/>
  <c r="U62" i="12"/>
  <c r="V62" i="12" s="1"/>
  <c r="FU66" i="11"/>
  <c r="U60" i="12"/>
  <c r="V60" i="12" s="1"/>
  <c r="FU64" i="11"/>
  <c r="U58" i="12"/>
  <c r="V58" i="12" s="1"/>
  <c r="FU62" i="11"/>
  <c r="U56" i="12"/>
  <c r="V56" i="12" s="1"/>
  <c r="FU58" i="11"/>
  <c r="U52" i="12"/>
  <c r="V52" i="12" s="1"/>
  <c r="FU56" i="11"/>
  <c r="U50" i="12"/>
  <c r="V50" i="12" s="1"/>
  <c r="FU54" i="11"/>
  <c r="U48" i="12"/>
  <c r="V48" i="12" s="1"/>
  <c r="FU52" i="11"/>
  <c r="U46" i="12"/>
  <c r="V46" i="12" s="1"/>
  <c r="FU50" i="11"/>
  <c r="U44" i="12"/>
  <c r="V44" i="12" s="1"/>
  <c r="FU48" i="11"/>
  <c r="U42" i="12"/>
  <c r="V42" i="12" s="1"/>
  <c r="FU46" i="11"/>
  <c r="U40" i="12"/>
  <c r="V40" i="12" s="1"/>
  <c r="FU44" i="1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HO68" i="11" l="1"/>
  <c r="IC68" i="11" s="1"/>
  <c r="X62" i="12" s="1"/>
  <c r="Y62" i="12" s="1"/>
  <c r="FU100" i="1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F42" i="11" l="1"/>
  <c r="IG42" i="11" s="1"/>
  <c r="IJ60" i="11"/>
  <c r="IF80" i="11"/>
  <c r="IG80" i="11" s="1"/>
  <c r="IF38" i="11"/>
  <c r="IG38" i="11" s="1"/>
  <c r="IJ92" i="11"/>
  <c r="ID54" i="11"/>
  <c r="IJ52" i="11"/>
  <c r="IF82" i="11"/>
  <c r="IG82" i="11" s="1"/>
  <c r="IJ90" i="11"/>
  <c r="ID98" i="11"/>
  <c r="IJ72" i="11"/>
  <c r="ID92" i="11"/>
  <c r="IF92" i="11"/>
  <c r="IG92" i="11" s="1"/>
  <c r="IF54" i="11"/>
  <c r="IG54" i="11" s="1"/>
  <c r="IJ54" i="11"/>
  <c r="ID60" i="11"/>
  <c r="IF60" i="11"/>
  <c r="IG60" i="11" s="1"/>
  <c r="AD86" i="12"/>
  <c r="AE86" i="12" s="1"/>
  <c r="IG52" i="11"/>
  <c r="AD46" i="12"/>
  <c r="AE46" i="12" s="1"/>
  <c r="AD36" i="12"/>
  <c r="AE3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48" i="12" l="1"/>
  <c r="AE48"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R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IL18" i="11" l="1"/>
  <c r="OD18" i="11" s="1"/>
  <c r="DO18" i="11"/>
  <c r="AU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JE18" i="11" l="1"/>
  <c r="GF18" i="11" s="1"/>
  <c r="GG18" i="11" s="1"/>
  <c r="GG102" i="11" s="1"/>
  <c r="L114" i="12" s="1"/>
  <c r="IX18" i="11"/>
  <c r="FY18" i="11" s="1"/>
  <c r="FZ18" i="11" s="1"/>
  <c r="FZ102" i="11" s="1"/>
  <c r="J114" i="12" s="1"/>
  <c r="FQ18" i="11"/>
  <c r="HA18" i="11" s="1"/>
  <c r="LH18" i="11"/>
  <c r="LI18" i="11" s="1"/>
  <c r="IS18" i="13"/>
  <c r="LM18" i="11"/>
  <c r="LN18" i="11" s="1"/>
  <c r="LO18" i="11" s="1"/>
  <c r="KU36" i="3"/>
  <c r="KV36" i="3" s="1"/>
  <c r="FQ138" i="3"/>
  <c r="DV138" i="3"/>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<sst xmlns="http://schemas.openxmlformats.org/spreadsheetml/2006/main" count="12191" uniqueCount="2377">
  <si>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</si>
  <si>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</si>
  <si>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</si>
  <si>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</si>
  <si>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</si>
  <si>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</si>
  <si>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</si>
  <si>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</si>
  <si>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</si>
  <si>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</si>
  <si>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</si>
  <si>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</si>
  <si>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</si>
  <si>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</si>
  <si>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</si>
  <si>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</si>
  <si>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</si>
  <si>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</si>
  <si>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</si>
  <si>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</si>
  <si>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</si>
  <si>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</si>
  <si>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</si>
  <si>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</si>
  <si>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</si>
  <si>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</si>
  <si>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</si>
  <si>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</si>
  <si>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</si>
  <si>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</si>
  <si>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</si>
  <si>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</si>
  <si>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</si>
  <si>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</si>
  <si>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</si>
  <si>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</si>
  <si>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</si>
  <si>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</si>
  <si>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</si>
  <si>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</si>
  <si>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</si>
  <si>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</si>
  <si>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</si>
  <si>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</si>
  <si>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</si>
  <si>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</si>
  <si>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</si>
  <si>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</si>
  <si>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</si>
  <si>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</si>
  <si>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</si>
  <si>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</si>
  <si>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</si>
  <si>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</si>
  <si>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</si>
  <si>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</si>
  <si>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</si>
  <si>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</si>
  <si>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</si>
  <si>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</si>
  <si>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</si>
  <si>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</si>
  <si>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</si>
  <si>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</si>
  <si>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</si>
  <si>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</si>
  <si>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</si>
  <si>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</si>
  <si>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</si>
  <si>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</si>
  <si>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</si>
  <si>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</si>
  <si>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</si>
  <si>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</si>
  <si>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</si>
  <si>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</si>
  <si>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</si>
  <si>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</si>
  <si>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</si>
  <si>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</si>
  <si>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</si>
  <si>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</si>
  <si>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</si>
  <si>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</si>
  <si>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</si>
  <si>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</si>
  <si>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</si>
  <si>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</si>
  <si>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</si>
  <si>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</si>
  <si>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</si>
  <si>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</si>
  <si>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</si>
  <si>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</si>
  <si>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</si>
  <si>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</si>
  <si>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</si>
  <si>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</si>
  <si>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</si>
  <si>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</si>
  <si>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</si>
  <si>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</si>
  <si>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</si>
  <si>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</si>
  <si>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</si>
  <si>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</si>
  <si>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</si>
  <si>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</si>
  <si>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</si>
  <si>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</si>
  <si>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</si>
  <si>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</si>
  <si>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</si>
  <si>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</si>
  <si>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</si>
  <si>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</si>
  <si>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</si>
  <si>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</si>
  <si>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</si>
  <si>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</si>
  <si>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</si>
  <si>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</si>
  <si>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</si>
  <si>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</si>
  <si>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</si>
  <si>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</si>
  <si>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</si>
  <si>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</si>
  <si>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</si>
  <si>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</si>
  <si>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</si>
  <si>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</si>
  <si>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</si>
  <si>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</si>
  <si>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</si>
  <si>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</si>
  <si>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</si>
  <si>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</si>
  <si>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</si>
  <si>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</si>
  <si>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</si>
  <si>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</si>
  <si>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</si>
  <si>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</si>
  <si>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</si>
  <si>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</si>
  <si>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</si>
  <si>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</si>
  <si>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</si>
  <si>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</si>
  <si>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</si>
  <si>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</si>
  <si>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</si>
  <si>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</si>
  <si>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</si>
  <si>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</si>
  <si>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</si>
  <si>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</si>
  <si>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</si>
  <si>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</si>
  <si>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</si>
  <si>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</si>
  <si>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</si>
  <si>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</si>
  <si>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</si>
  <si>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</si>
  <si>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</si>
  <si>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</si>
  <si>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</si>
  <si>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</si>
  <si>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</si>
  <si>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</si>
  <si>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</si>
  <si>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</si>
  <si>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</si>
  <si>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</si>
  <si>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</si>
  <si>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</si>
  <si>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</si>
  <si>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</si>
  <si>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</si>
  <si>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</si>
  <si>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</si>
  <si>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</si>
  <si>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</si>
  <si>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</si>
  <si>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</si>
  <si>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</si>
  <si>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</si>
  <si>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</si>
  <si>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</si>
  <si>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</si>
  <si>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</si>
  <si>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</si>
  <si>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</si>
  <si>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</si>
  <si>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</si>
  <si>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</si>
  <si>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</si>
  <si>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</si>
  <si>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</si>
  <si>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</si>
  <si>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</si>
  <si>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</si>
  <si>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</si>
  <si>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</si>
  <si>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</si>
  <si>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</si>
  <si>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</si>
  <si>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</si>
  <si>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</si>
  <si>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</si>
  <si>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</si>
  <si>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</si>
  <si>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</si>
  <si>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</si>
  <si>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</si>
  <si>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</si>
  <si>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</si>
  <si>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</si>
  <si>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</si>
  <si>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</si>
  <si>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</si>
  <si>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</si>
  <si>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</si>
  <si>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</si>
  <si>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</si>
  <si>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</si>
  <si>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</si>
  <si>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</si>
  <si>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</si>
  <si>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</si>
  <si>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</si>
  <si>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</si>
  <si>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</si>
  <si>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</si>
  <si>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</si>
  <si>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</si>
  <si>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</si>
  <si>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</si>
  <si>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</si>
  <si>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</si>
  <si>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</si>
  <si>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</si>
  <si>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</si>
  <si>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</si>
  <si>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</si>
  <si>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</si>
  <si>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</si>
  <si>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</si>
  <si>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</si>
  <si>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</si>
  <si>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</si>
  <si>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</si>
  <si>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</si>
  <si>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</si>
  <si>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</si>
  <si>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</si>
  <si>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</si>
  <si>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</si>
  <si>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</si>
  <si>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</si>
  <si>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</si>
  <si>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</si>
  <si>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</si>
  <si>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</si>
  <si>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</si>
  <si>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</si>
  <si>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</si>
  <si>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</si>
  <si>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</si>
  <si>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</si>
  <si>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</si>
  <si>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</si>
  <si>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</si>
  <si>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</si>
  <si>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</si>
  <si>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</si>
  <si>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</si>
  <si>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</si>
  <si>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</si>
  <si>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</si>
  <si>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</si>
  <si>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</si>
  <si>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</si>
  <si>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</si>
  <si>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</si>
  <si>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</si>
  <si>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</si>
  <si>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</si>
  <si>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</si>
  <si>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</si>
  <si>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</si>
  <si>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</si>
  <si>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</si>
  <si>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</si>
  <si>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</si>
  <si>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</si>
  <si>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</si>
  <si>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</si>
  <si>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</si>
  <si>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</si>
  <si>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</si>
  <si>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</si>
  <si>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</si>
  <si>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</si>
  <si>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</si>
  <si>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</si>
  <si>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</si>
  <si>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</si>
  <si>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</si>
  <si>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</si>
  <si>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</si>
  <si>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</si>
  <si>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</si>
  <si>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</si>
  <si>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</si>
  <si>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</si>
  <si>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</si>
  <si>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</si>
  <si>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</si>
  <si>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</si>
  <si>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</si>
  <si>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</si>
  <si>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</si>
  <si>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</si>
  <si>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</si>
  <si>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</si>
  <si>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</si>
  <si>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</si>
  <si>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</si>
  <si>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</si>
  <si>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</si>
  <si>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</si>
  <si>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</si>
  <si>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</si>
  <si>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</si>
  <si>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</si>
  <si>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</si>
  <si>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</si>
  <si>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</si>
  <si>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</si>
  <si>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</si>
  <si>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</si>
  <si>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</si>
  <si>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</si>
  <si>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</si>
  <si>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</si>
  <si>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</si>
  <si>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</si>
  <si>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</si>
  <si>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</si>
  <si>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</si>
  <si>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</si>
  <si>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</si>
  <si>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</si>
  <si>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</si>
  <si>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</si>
  <si>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</si>
  <si>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</si>
  <si>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</si>
  <si>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</si>
  <si>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</si>
  <si>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</si>
  <si>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</si>
  <si>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</si>
  <si>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</si>
  <si>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</si>
  <si>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</si>
  <si>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</si>
  <si>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</si>
  <si>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</si>
  <si>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</si>
  <si>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</si>
  <si>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</si>
  <si>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</si>
  <si>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</si>
  <si>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</si>
  <si>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</si>
  <si>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</si>
  <si>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</si>
  <si>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</si>
  <si>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</si>
  <si>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</si>
  <si>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</si>
  <si>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</si>
  <si>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</si>
  <si>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</si>
  <si>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</si>
  <si>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</si>
  <si>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</si>
  <si>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</si>
  <si>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</si>
  <si>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</si>
  <si>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</si>
  <si>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</si>
  <si>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</si>
  <si>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</si>
  <si>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</si>
  <si>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</si>
  <si>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</si>
  <si>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</si>
  <si>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</si>
  <si>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</si>
  <si>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</si>
  <si>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</si>
  <si>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</si>
  <si>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</si>
  <si>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</si>
  <si>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</si>
  <si>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</si>
  <si>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</si>
  <si>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</si>
  <si>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</si>
  <si>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</si>
  <si>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</si>
  <si>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</si>
  <si>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</si>
  <si>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</si>
  <si>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</si>
  <si>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</si>
  <si>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</si>
  <si>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</si>
  <si>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</si>
  <si>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</si>
  <si>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</si>
  <si>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</si>
  <si>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</si>
  <si>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</si>
  <si>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</si>
  <si>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</si>
  <si>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</si>
  <si>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</si>
  <si>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</si>
  <si>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</si>
  <si>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</si>
  <si>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</si>
  <si>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</si>
  <si>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</si>
  <si>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</si>
  <si>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</si>
  <si>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</si>
  <si>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</si>
  <si>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</si>
  <si>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</si>
  <si>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</si>
  <si>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</si>
  <si>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</si>
  <si>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</si>
  <si>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</si>
  <si>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</si>
  <si>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</si>
  <si>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</si>
  <si>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</si>
  <si>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</si>
  <si>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</si>
  <si>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</si>
  <si>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</si>
  <si>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</si>
  <si>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</si>
  <si>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</si>
  <si>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</si>
  <si>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</si>
  <si>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</si>
  <si>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</si>
  <si>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</si>
  <si>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</si>
  <si>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</si>
  <si>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</si>
  <si>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</si>
  <si>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</si>
  <si>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</si>
  <si>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</si>
  <si>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</si>
  <si>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</si>
  <si>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</si>
  <si>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</si>
  <si>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</si>
  <si>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</si>
  <si>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</si>
  <si>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</si>
  <si>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</si>
  <si>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</si>
  <si>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</si>
  <si>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</si>
  <si>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</si>
  <si>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</si>
  <si>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</si>
  <si>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</si>
  <si>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</si>
  <si>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</si>
  <si>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</si>
  <si>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</si>
  <si>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</si>
  <si>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</si>
  <si>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</si>
  <si>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</si>
  <si>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</si>
  <si>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</si>
  <si>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</si>
  <si>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</si>
  <si>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</si>
  <si>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</si>
  <si>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</si>
  <si>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</si>
  <si>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</si>
  <si>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</si>
  <si>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</si>
  <si>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</si>
  <si>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</si>
  <si>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</si>
  <si>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</si>
  <si>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</si>
  <si>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</si>
  <si>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</si>
  <si>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</si>
  <si>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</si>
  <si>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</si>
  <si>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</si>
  <si>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</si>
  <si>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</si>
  <si>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</si>
  <si>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</si>
  <si>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</si>
  <si>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</si>
  <si>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</si>
  <si>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</si>
  <si>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</si>
  <si>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</si>
  <si>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</si>
  <si>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</si>
  <si>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</si>
  <si>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</si>
  <si>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</si>
  <si>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</si>
  <si>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</si>
  <si>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</si>
  <si>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</si>
  <si>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</si>
  <si>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</si>
  <si>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</si>
  <si>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</si>
  <si>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</si>
  <si>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</si>
  <si>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</si>
  <si>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</si>
  <si>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</si>
  <si>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</si>
  <si>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</si>
  <si>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</si>
  <si>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</si>
  <si>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</si>
  <si>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</si>
  <si>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</si>
  <si>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</si>
  <si>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</si>
  <si>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</si>
  <si>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</si>
  <si>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</si>
  <si>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</si>
  <si>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</si>
  <si>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</si>
  <si>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</si>
  <si>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</si>
  <si>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</si>
  <si>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</si>
  <si>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</si>
  <si>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</si>
  <si>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</si>
  <si>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</si>
  <si>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</si>
  <si>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</si>
  <si>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</si>
  <si>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</si>
  <si>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</si>
  <si>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</si>
  <si>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</si>
  <si>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</si>
  <si>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</si>
  <si>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</si>
  <si>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</si>
  <si>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</si>
  <si>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</si>
  <si>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</si>
  <si>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</si>
  <si>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</si>
  <si>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</si>
  <si>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</si>
  <si>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</si>
  <si>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</si>
  <si>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</si>
  <si>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</si>
  <si>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</si>
  <si>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</si>
  <si>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</si>
  <si>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</si>
  <si>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</si>
  <si>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</si>
  <si>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</si>
  <si>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</si>
  <si>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</si>
  <si>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</si>
  <si>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</si>
  <si>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</si>
  <si>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</si>
  <si>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</si>
  <si>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</si>
  <si>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</si>
  <si>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</si>
  <si>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</si>
  <si>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</si>
  <si>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</si>
  <si>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</si>
  <si>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</si>
  <si>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</si>
  <si>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</si>
  <si>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</si>
  <si>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</si>
  <si>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</si>
  <si>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</si>
  <si>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</si>
  <si>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</si>
  <si>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</si>
  <si>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</si>
  <si>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</si>
  <si>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</si>
  <si>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</si>
  <si>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</si>
  <si>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</si>
  <si>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</si>
  <si>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</si>
  <si>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</si>
  <si>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</si>
  <si>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</si>
  <si>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</si>
  <si>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</si>
  <si>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</si>
  <si>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</si>
  <si>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</si>
  <si>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</si>
  <si>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</si>
  <si>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</si>
  <si>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</si>
  <si>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</si>
  <si>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</si>
  <si>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</si>
  <si>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</si>
  <si>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</si>
  <si>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</si>
  <si>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</si>
  <si>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</si>
  <si>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</si>
  <si>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</si>
  <si>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</si>
  <si>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</si>
  <si>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</si>
  <si>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</si>
  <si>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</si>
  <si>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</si>
  <si>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</si>
  <si>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</si>
  <si>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</si>
  <si>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</si>
  <si>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</si>
  <si>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</si>
  <si>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</si>
  <si>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</si>
  <si>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</si>
  <si>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</si>
  <si>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</si>
  <si>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</si>
  <si>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</si>
  <si>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</si>
  <si>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</si>
  <si>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</si>
  <si>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</si>
  <si>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</si>
  <si>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</si>
  <si>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</si>
  <si>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</si>
  <si>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</si>
  <si>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</si>
  <si>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</si>
  <si>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</si>
  <si>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</si>
  <si>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</si>
  <si>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</si>
  <si>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</si>
  <si>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</si>
  <si>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</si>
  <si>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</si>
  <si>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</si>
  <si>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</si>
  <si>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</si>
  <si>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</si>
  <si>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</si>
  <si>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</si>
  <si>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</si>
  <si>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</si>
  <si>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</si>
  <si>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</si>
  <si>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</si>
  <si>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</si>
  <si>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</si>
  <si>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</si>
  <si>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</si>
  <si>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</si>
  <si>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</si>
  <si>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</si>
  <si>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</si>
  <si>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</si>
  <si>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</si>
  <si>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</si>
  <si>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</si>
  <si>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</si>
  <si>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</si>
  <si>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</si>
  <si>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</si>
  <si>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</si>
  <si>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</si>
  <si>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</si>
  <si>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</si>
  <si>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</si>
  <si>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</si>
  <si>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</si>
  <si>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</si>
  <si>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</si>
  <si>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</si>
  <si>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</si>
  <si>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</si>
  <si>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</si>
  <si>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</si>
  <si>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</si>
  <si>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</si>
  <si>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</si>
  <si>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</si>
  <si>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</si>
  <si>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</si>
  <si>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</si>
  <si>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</si>
  <si>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</si>
  <si>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</si>
  <si>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</si>
  <si>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</si>
  <si>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</si>
  <si>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</si>
  <si>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</si>
  <si>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</si>
  <si>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</si>
  <si>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</si>
  <si>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</si>
  <si>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</si>
  <si>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</si>
  <si>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</si>
  <si>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</si>
  <si>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</si>
  <si>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</si>
  <si>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</si>
  <si>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</si>
  <si>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</si>
  <si>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</si>
  <si>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</si>
  <si>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</si>
  <si>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</si>
  <si>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</si>
  <si>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</si>
  <si>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</si>
  <si>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</si>
  <si>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</si>
  <si>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</si>
  <si>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</si>
  <si>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</si>
  <si>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</si>
  <si>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</si>
  <si>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</si>
  <si>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</si>
  <si>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</si>
  <si>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</si>
  <si>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</si>
  <si>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</si>
  <si>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</si>
  <si>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</si>
  <si>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</si>
  <si>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</si>
  <si>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</si>
  <si>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</si>
  <si>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</si>
  <si>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</si>
  <si>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</si>
  <si>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</si>
  <si>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</si>
  <si>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</si>
  <si>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</si>
  <si>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</si>
  <si>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</si>
  <si>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</si>
  <si>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</si>
  <si>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</si>
  <si>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</si>
  <si>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</si>
  <si>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</si>
  <si>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</si>
  <si>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</si>
  <si>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</si>
  <si>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</si>
  <si>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</si>
  <si>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</si>
  <si>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</si>
  <si>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</si>
  <si>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</si>
  <si>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</si>
  <si>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</si>
  <si>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</si>
  <si>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</si>
  <si>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</si>
  <si>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</si>
  <si>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</si>
  <si>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</si>
  <si>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</si>
  <si>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</si>
  <si>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</si>
  <si>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</si>
  <si>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</si>
  <si>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</si>
  <si>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</si>
  <si>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</si>
  <si>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</si>
  <si>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</si>
  <si>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</si>
  <si>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</si>
  <si>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</si>
  <si>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</si>
  <si>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</si>
  <si>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</si>
  <si>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</si>
  <si>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</si>
  <si>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</si>
  <si>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</si>
  <si>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</si>
  <si>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</si>
  <si>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</si>
  <si>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</si>
  <si>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</si>
  <si>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</si>
  <si>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</si>
  <si>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</si>
  <si>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</si>
  <si>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</si>
  <si>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</si>
  <si>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</si>
  <si>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</si>
  <si>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</si>
  <si>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</si>
  <si>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</si>
  <si>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</si>
  <si>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</si>
  <si>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</si>
  <si>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</si>
  <si>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</si>
  <si>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</si>
  <si>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</si>
  <si>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</si>
  <si>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</si>
  <si>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</si>
  <si>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</si>
  <si>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</si>
  <si>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</si>
  <si>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</si>
  <si>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</si>
  <si>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</si>
  <si>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</si>
  <si>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</si>
  <si>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</si>
  <si>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</si>
  <si>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</si>
  <si>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</si>
  <si>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</si>
  <si>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</si>
  <si>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</si>
  <si>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</si>
  <si>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</si>
  <si>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</si>
  <si>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</si>
  <si>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</si>
  <si>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</si>
  <si>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</si>
  <si>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</si>
  <si>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</si>
  <si>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</si>
  <si>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</si>
  <si>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</si>
  <si>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</si>
  <si>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</si>
  <si>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</si>
  <si>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</si>
  <si>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</si>
  <si>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</si>
  <si>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</si>
  <si>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</si>
  <si>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</si>
  <si>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</si>
  <si>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</si>
  <si>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</si>
  <si>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</si>
  <si>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</si>
  <si>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</si>
  <si>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</si>
  <si>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</si>
  <si>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</si>
  <si>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</si>
  <si>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</si>
  <si>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</si>
  <si>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</si>
  <si>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</si>
  <si>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</si>
  <si>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</si>
  <si>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</si>
  <si>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</si>
  <si>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</si>
  <si>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</si>
  <si>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</si>
  <si>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</si>
  <si>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</si>
  <si>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</si>
  <si>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</si>
  <si>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</si>
  <si>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</si>
  <si>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</si>
  <si>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</si>
  <si>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</si>
  <si>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</si>
  <si>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</si>
  <si>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</si>
  <si>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</si>
  <si>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</si>
  <si>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</si>
  <si>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</si>
  <si>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</si>
  <si>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</si>
  <si>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</si>
  <si>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</si>
  <si>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</si>
  <si>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</si>
  <si>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</si>
  <si>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</si>
  <si>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</si>
  <si>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</si>
  <si>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</si>
  <si>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</si>
  <si>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</si>
  <si>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</si>
  <si>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</si>
  <si>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</si>
  <si>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</si>
  <si>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</si>
  <si>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</si>
  <si>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</si>
  <si>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</si>
  <si>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</si>
  <si>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</si>
  <si>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</si>
  <si>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</si>
  <si>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</si>
  <si>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</si>
  <si>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</si>
  <si>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</si>
  <si>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</si>
  <si>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</si>
  <si>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</si>
  <si>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</si>
  <si>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</si>
  <si>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</si>
  <si>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</si>
  <si>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</si>
  <si>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</si>
  <si>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</si>
  <si>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</si>
  <si>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</si>
  <si>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</si>
  <si>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</si>
  <si>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</si>
  <si>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</si>
  <si>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</si>
  <si>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</si>
  <si>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</si>
  <si>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</si>
  <si>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</si>
  <si>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</si>
  <si>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</si>
  <si>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</si>
  <si>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</si>
  <si>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</si>
  <si>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</si>
  <si>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</si>
  <si>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</si>
  <si>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</si>
  <si>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</si>
  <si>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</si>
  <si>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</si>
  <si>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</si>
  <si>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</si>
  <si>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</si>
  <si>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</si>
  <si>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</si>
  <si>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</si>
  <si>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</si>
  <si>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</si>
  <si>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</si>
  <si>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</si>
  <si>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</si>
  <si>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</si>
  <si>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</si>
  <si>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</si>
  <si>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</si>
  <si>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</si>
  <si>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</si>
  <si>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</si>
  <si>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</si>
  <si>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</si>
  <si>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</si>
  <si>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</si>
  <si>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</si>
  <si>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</si>
  <si>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</si>
  <si>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</si>
  <si>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</si>
  <si>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</si>
  <si>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</si>
  <si>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</si>
  <si>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</si>
  <si>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</si>
  <si>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</si>
  <si>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</si>
  <si>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</si>
  <si>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</si>
  <si>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</si>
  <si>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</si>
  <si>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</si>
  <si>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</si>
  <si>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</si>
  <si>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</si>
  <si>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</si>
  <si>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</si>
  <si>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</si>
  <si>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</si>
  <si>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</si>
  <si>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</si>
  <si>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</si>
  <si>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</si>
  <si>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</si>
  <si>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</si>
  <si>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</si>
  <si>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</si>
  <si>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</si>
  <si>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</si>
  <si>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</si>
  <si>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</si>
  <si>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</si>
  <si>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</si>
  <si>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</si>
  <si>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</si>
  <si>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</si>
  <si>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</si>
  <si>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</si>
  <si>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</si>
  <si>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</si>
  <si>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</si>
  <si>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</si>
  <si>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</si>
  <si>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</si>
  <si>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</si>
  <si>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</si>
  <si>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</si>
  <si>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</si>
  <si>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</si>
  <si>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</si>
  <si>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</si>
  <si>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</si>
  <si>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</si>
  <si>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</si>
  <si>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</si>
  <si>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</si>
  <si>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</si>
  <si>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</si>
  <si>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</si>
  <si>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</si>
  <si>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</si>
  <si>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</si>
  <si>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</si>
  <si>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</si>
  <si>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</si>
  <si>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</si>
  <si>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</si>
  <si>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</si>
  <si>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</si>
  <si>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</si>
  <si>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</si>
  <si>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</si>
  <si>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</si>
  <si>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</si>
  <si>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</si>
  <si>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</si>
  <si>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</si>
  <si>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</si>
  <si>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</si>
  <si>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</si>
  <si>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</si>
  <si>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</si>
  <si>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</si>
  <si>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</si>
  <si>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</si>
  <si>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</si>
  <si>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</si>
  <si>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</si>
  <si>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</si>
  <si>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</si>
  <si>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</si>
  <si>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</si>
  <si>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</si>
  <si>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</si>
  <si>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</si>
  <si>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</si>
  <si>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</si>
  <si>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</si>
  <si>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</si>
  <si>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</si>
  <si>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</si>
  <si>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</si>
  <si>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</si>
  <si>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</si>
  <si>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</si>
  <si>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</si>
  <si>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</si>
  <si>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</si>
  <si>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</si>
  <si>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</si>
  <si>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</si>
  <si>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</si>
  <si>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</si>
  <si>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</si>
  <si>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</si>
  <si>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</si>
  <si>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</si>
  <si>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</si>
  <si>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</si>
  <si>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</si>
  <si>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</si>
  <si>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</si>
  <si>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</si>
  <si>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</si>
  <si>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</si>
  <si>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</si>
  <si>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</si>
  <si>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</si>
  <si>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</si>
  <si>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</si>
  <si>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</si>
  <si>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</si>
  <si>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</si>
  <si>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</si>
  <si>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</si>
  <si>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</si>
  <si>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</si>
  <si>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</si>
  <si>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</si>
  <si>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</si>
  <si>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</si>
  <si>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</si>
  <si>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</si>
  <si>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</si>
  <si>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</si>
  <si>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</si>
  <si>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</si>
  <si>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</si>
  <si>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</si>
  <si>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</si>
  <si>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</si>
  <si>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</si>
  <si>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</si>
  <si>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</si>
  <si>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</si>
  <si>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</si>
  <si>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</si>
  <si>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</si>
  <si>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</si>
  <si>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</si>
  <si>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</si>
  <si>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</si>
  <si>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</si>
  <si>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</si>
  <si>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</si>
  <si>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</si>
  <si>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</si>
  <si>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</si>
  <si>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</si>
  <si>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</si>
  <si>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</si>
  <si>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</si>
  <si>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</si>
  <si>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</si>
  <si>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</si>
  <si>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</si>
  <si>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</si>
  <si>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</si>
  <si>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</si>
  <si>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</si>
  <si>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</si>
  <si>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</si>
  <si>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</si>
  <si>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</si>
  <si>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</si>
  <si>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</si>
  <si>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</si>
  <si>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</si>
  <si>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</si>
  <si>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</si>
  <si>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</si>
  <si>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</si>
  <si>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</si>
  <si>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</si>
  <si>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</si>
  <si>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</si>
  <si>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</si>
  <si>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</si>
  <si>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</si>
  <si>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</si>
  <si>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</si>
  <si>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</si>
  <si>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</si>
  <si>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</si>
  <si>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</si>
  <si>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</si>
  <si>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</si>
  <si>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</si>
  <si>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</si>
  <si>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</si>
  <si>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</si>
  <si>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</si>
  <si>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</si>
  <si>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</si>
  <si>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</si>
  <si>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</si>
  <si>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</si>
  <si>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</si>
  <si>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</si>
  <si>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</si>
  <si>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</si>
  <si>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</si>
  <si>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</si>
  <si>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</si>
  <si>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</si>
  <si>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</si>
  <si>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</si>
  <si>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</si>
  <si>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</si>
  <si>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</si>
  <si>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</si>
  <si>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</si>
  <si>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</si>
  <si>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</si>
  <si>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</si>
  <si>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</si>
  <si>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</si>
  <si>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</si>
  <si>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</si>
  <si>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</si>
  <si>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</si>
  <si>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</si>
  <si>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</si>
  <si>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</si>
  <si>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</si>
  <si>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</si>
  <si>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</si>
  <si>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</si>
  <si>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</si>
  <si>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</si>
  <si>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</si>
  <si>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</si>
  <si>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</si>
  <si>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</si>
  <si>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</si>
  <si>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</si>
  <si>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</si>
  <si>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</si>
  <si>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</si>
  <si>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</si>
  <si>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</si>
  <si>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</si>
  <si>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</si>
  <si>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</si>
  <si>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</si>
  <si>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</si>
  <si>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</si>
  <si>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</si>
  <si>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</si>
  <si>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</si>
  <si>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</si>
  <si>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</si>
  <si>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</si>
  <si>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</si>
  <si>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</si>
  <si>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</si>
  <si>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</si>
  <si>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</si>
  <si>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</si>
  <si>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</si>
  <si>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</si>
  <si>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</si>
  <si>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</si>
  <si>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</si>
  <si>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</si>
  <si>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</si>
  <si>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</si>
  <si>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</si>
  <si>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</si>
  <si>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</si>
  <si>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</si>
  <si>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</si>
  <si>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</si>
  <si>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</si>
  <si>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</si>
  <si>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</si>
  <si>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</si>
  <si>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</si>
  <si>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</si>
  <si>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</si>
  <si>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</si>
  <si>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</si>
  <si>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</si>
  <si>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</si>
  <si>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</si>
  <si>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</si>
  <si>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</si>
  <si>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</si>
  <si>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</si>
  <si>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</si>
  <si>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</si>
  <si>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</si>
  <si>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</si>
  <si>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</si>
  <si>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</si>
  <si>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</si>
  <si>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</si>
  <si>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</si>
  <si>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</si>
  <si>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</si>
  <si>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</si>
  <si>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</si>
  <si>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</si>
  <si>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</si>
  <si>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</si>
  <si>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</si>
  <si>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</si>
  <si>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</si>
  <si>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</si>
  <si>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</si>
  <si>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</si>
  <si>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</si>
  <si>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</si>
  <si>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</si>
  <si>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</si>
  <si>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</si>
  <si>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</si>
  <si>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</si>
  <si>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</si>
  <si>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</si>
  <si>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</si>
  <si>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</si>
  <si>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</si>
  <si>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</si>
  <si>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</si>
  <si>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</si>
  <si>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</si>
  <si>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</si>
  <si>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</si>
  <si>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</si>
  <si>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</si>
  <si>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</si>
  <si>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</si>
  <si>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</si>
  <si>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</si>
  <si>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</si>
  <si>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</si>
  <si>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</si>
  <si>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</si>
  <si>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</si>
  <si>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</si>
  <si>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</si>
  <si>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</si>
  <si>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</si>
  <si>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</si>
  <si>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</si>
  <si>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</si>
  <si>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</si>
  <si>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</si>
  <si>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</si>
  <si>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</si>
  <si>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</si>
  <si>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</si>
  <si>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</si>
  <si>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</si>
  <si>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</si>
  <si>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</si>
  <si>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</si>
  <si>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</si>
  <si>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</si>
  <si>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</si>
  <si>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</si>
  <si>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</si>
  <si>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</si>
  <si>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</si>
  <si>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</si>
  <si>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</si>
  <si>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</si>
  <si>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</si>
  <si>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</si>
  <si>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</si>
  <si>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</si>
  <si>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</si>
  <si>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</si>
  <si>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</si>
  <si>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</si>
  <si>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</si>
  <si>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</si>
  <si>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</si>
  <si>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</si>
  <si>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</si>
  <si>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</si>
  <si>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</si>
  <si>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</si>
  <si>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</si>
  <si>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</si>
  <si>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</si>
  <si>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</si>
  <si>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</si>
  <si>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</si>
  <si>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</si>
  <si>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</si>
  <si>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</si>
  <si>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</si>
  <si>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</si>
  <si>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</si>
  <si>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</si>
  <si>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</si>
  <si>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</si>
  <si>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</si>
  <si>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</si>
  <si>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</si>
  <si>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</si>
  <si>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</si>
  <si>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</si>
  <si>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</si>
  <si>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</si>
  <si>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</si>
  <si>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</si>
  <si>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</si>
  <si>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</si>
  <si>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</si>
  <si>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</si>
  <si>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</si>
  <si>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</si>
  <si>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</si>
  <si>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</si>
  <si>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</si>
  <si>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</si>
  <si>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</si>
  <si>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</si>
  <si>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</si>
  <si>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</si>
  <si>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</si>
  <si>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</si>
  <si>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</si>
  <si>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</si>
  <si>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</si>
  <si>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</si>
  <si>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</si>
  <si>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</si>
  <si>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</si>
  <si>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</si>
  <si>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</si>
  <si>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</si>
  <si>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</si>
  <si>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</si>
  <si>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</si>
  <si>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</si>
  <si>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</si>
  <si>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</si>
  <si>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</si>
  <si>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</si>
  <si>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</si>
  <si>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</si>
  <si>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</si>
  <si>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</si>
  <si>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</si>
  <si>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</si>
  <si>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</si>
  <si>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</si>
  <si>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</si>
  <si>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</si>
  <si>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</si>
  <si>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</si>
  <si>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</si>
  <si>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</si>
  <si>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</si>
  <si>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</si>
  <si>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</si>
  <si>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</si>
  <si>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</si>
  <si>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</si>
  <si>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</si>
  <si>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</si>
  <si>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</si>
  <si>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</si>
  <si>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</si>
  <si>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</si>
  <si>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</si>
  <si>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</si>
  <si>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</si>
  <si>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</si>
  <si>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</si>
  <si>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</si>
  <si>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</si>
  <si>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</si>
  <si>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</si>
  <si>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</si>
  <si>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</si>
  <si>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</si>
  <si>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</si>
  <si>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</si>
  <si>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</si>
  <si>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</si>
  <si>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</si>
  <si>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</si>
  <si>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</si>
  <si>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</si>
  <si>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</si>
  <si>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</si>
  <si>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</si>
  <si>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</si>
  <si>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</si>
  <si>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</si>
  <si>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</si>
  <si>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</si>
  <si>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</si>
  <si>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</si>
  <si>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</si>
  <si>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</si>
  <si>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</si>
  <si>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</si>
  <si>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</si>
  <si>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</si>
  <si>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</si>
  <si>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</si>
  <si>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</si>
  <si>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</si>
  <si>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</si>
  <si>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</si>
  <si>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</si>
  <si>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</si>
  <si>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</si>
  <si>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</si>
  <si>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</si>
  <si>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</si>
  <si>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</si>
  <si>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</si>
  <si>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</si>
  <si>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</si>
  <si>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</si>
  <si>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</si>
  <si>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</si>
  <si>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</si>
  <si>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</si>
  <si>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</si>
  <si>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</si>
  <si>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</si>
  <si>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</si>
  <si>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</si>
  <si>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</si>
  <si>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</si>
  <si>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</si>
  <si>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</si>
  <si>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</si>
  <si>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</si>
  <si>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</si>
  <si>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</si>
  <si>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</si>
  <si>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</si>
  <si>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</si>
  <si>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</si>
  <si>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</si>
  <si>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</si>
  <si>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</si>
  <si>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</si>
  <si>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</si>
  <si>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</si>
  <si>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</si>
  <si>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</si>
  <si>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</si>
  <si>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</si>
  <si>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</si>
  <si>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</si>
  <si>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</si>
  <si>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</si>
  <si>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</si>
  <si>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</si>
  <si>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</si>
  <si>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</si>
  <si>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</si>
  <si>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</si>
  <si>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</si>
  <si>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</si>
  <si>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</si>
  <si>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</si>
  <si>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</si>
  <si>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</si>
  <si>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</si>
  <si>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</si>
  <si>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</si>
  <si>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</si>
  <si>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</si>
  <si>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</si>
  <si>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</si>
  <si>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</si>
  <si>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</si>
  <si>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</si>
  <si>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</si>
  <si>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</si>
  <si>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</si>
  <si>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</si>
  <si>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</si>
  <si>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</si>
  <si>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</si>
  <si>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</si>
  <si>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</si>
  <si>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</si>
  <si>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</si>
  <si>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</si>
  <si>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</si>
  <si>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</si>
  <si>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</si>
  <si>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</si>
  <si>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</si>
  <si>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</si>
  <si>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</si>
  <si>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</si>
  <si>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</si>
  <si>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</si>
  <si>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</si>
  <si>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</si>
  <si>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</si>
  <si>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</si>
  <si>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</si>
  <si>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</si>
  <si>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</si>
  <si>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</si>
  <si>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</si>
  <si>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</si>
  <si>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</si>
  <si>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</si>
  <si>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</si>
  <si>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</si>
  <si>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</si>
  <si>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</si>
  <si>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</si>
  <si>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</si>
  <si>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</si>
  <si>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</si>
  <si>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</si>
  <si>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</si>
  <si>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</si>
  <si>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</si>
  <si>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</si>
  <si>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</si>
  <si>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</si>
  <si>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</si>
  <si>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</si>
  <si>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</si>
  <si>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</si>
  <si>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</si>
  <si>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</si>
  <si>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</si>
  <si>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</si>
  <si>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</si>
  <si>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</si>
  <si>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</si>
  <si>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</si>
  <si>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</si>
  <si>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</si>
  <si>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</si>
  <si>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</si>
  <si>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</si>
  <si>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</si>
  <si>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</si>
  <si>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</si>
  <si>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</si>
  <si>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</si>
  <si>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</si>
  <si>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</si>
  <si>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</si>
  <si>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</si>
  <si>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</si>
  <si>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</si>
  <si>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</si>
  <si>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</si>
  <si>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</si>
  <si>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</si>
  <si>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</si>
  <si>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</si>
  <si>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</si>
  <si>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</si>
  <si>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</si>
  <si>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</si>
  <si>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</si>
  <si>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</si>
  <si>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</si>
  <si>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</si>
  <si>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</si>
  <si>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</si>
  <si>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</si>
  <si>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</si>
  <si>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</si>
  <si>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</si>
  <si>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</si>
  <si>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</si>
  <si>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</si>
  <si>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</si>
  <si>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</si>
  <si>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</si>
  <si>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</si>
  <si>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</si>
  <si>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</si>
  <si>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</si>
  <si>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</si>
  <si>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</si>
  <si>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</si>
  <si>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</si>
  <si>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</si>
  <si>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</si>
  <si>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</si>
  <si>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</si>
  <si>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</si>
  <si>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</si>
  <si>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</si>
  <si>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</si>
  <si>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</si>
  <si>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</si>
  <si>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</si>
  <si>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</si>
  <si>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</si>
  <si>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</si>
  <si>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</si>
  <si>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</si>
  <si>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</si>
  <si>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</si>
  <si>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</si>
  <si>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</si>
  <si>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</si>
  <si>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</si>
  <si>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</si>
  <si>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</si>
  <si>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</si>
  <si>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</si>
  <si>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</si>
  <si>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</si>
  <si>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</si>
  <si>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</si>
  <si>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</si>
  <si>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</si>
  <si>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</si>
  <si>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</si>
  <si>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</si>
  <si>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</si>
  <si>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</si>
  <si>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</si>
  <si>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</si>
  <si>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</si>
  <si>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</si>
  <si>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</si>
  <si>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</si>
  <si>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</si>
  <si>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</si>
  <si>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</si>
  <si>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</si>
  <si>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</si>
  <si>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</si>
  <si>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</si>
  <si>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</si>
  <si>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</si>
  <si>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</si>
  <si>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</si>
  <si>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</si>
  <si>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</si>
  <si>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</si>
  <si>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</si>
  <si>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</si>
  <si>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</si>
  <si>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</si>
  <si>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</si>
  <si>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</si>
  <si>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</si>
  <si>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</si>
  <si>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</si>
  <si>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</si>
  <si>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</si>
  <si>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</si>
  <si>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</si>
  <si>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</si>
  <si>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</si>
  <si>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</si>
  <si>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</si>
  <si>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</si>
  <si>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</si>
  <si>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</si>
  <si>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</si>
  <si>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</si>
  <si>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</si>
  <si>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</si>
  <si>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</si>
  <si>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</si>
  <si>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</si>
  <si>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</si>
  <si>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</si>
  <si>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</si>
  <si>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</si>
  <si>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</si>
  <si>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</si>
  <si>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</si>
  <si>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</si>
  <si>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</si>
  <si>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</si>
  <si>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</si>
  <si>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</si>
  <si>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</si>
  <si>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</si>
  <si>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</si>
  <si>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</si>
  <si>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</si>
  <si>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</si>
  <si>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</si>
  <si>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</si>
  <si>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</si>
  <si>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</si>
  <si>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</si>
  <si>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</si>
  <si>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</si>
  <si>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</si>
  <si>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</si>
  <si>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</si>
  <si>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</si>
  <si>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</si>
  <si>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</si>
  <si>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</si>
  <si>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</si>
  <si>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</si>
  <si>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</si>
  <si>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</si>
  <si>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</si>
  <si>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</si>
  <si>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</si>
  <si>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</si>
  <si>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</si>
  <si>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</si>
  <si>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</si>
  <si>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</si>
  <si>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</si>
  <si>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</si>
  <si>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</si>
  <si>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</si>
  <si>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</si>
  <si>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</si>
  <si>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</si>
  <si>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</si>
  <si>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</si>
  <si>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</si>
  <si>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</si>
  <si>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</si>
  <si>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</si>
  <si>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</si>
  <si>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</si>
  <si>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</si>
  <si>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</si>
  <si>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</si>
  <si>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</si>
  <si>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</si>
  <si>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</si>
  <si>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</si>
  <si>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</si>
  <si>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</si>
  <si>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</si>
  <si>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</si>
  <si>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</si>
  <si>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</si>
  <si>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</si>
  <si>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</si>
  <si>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</si>
  <si>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</si>
  <si>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</si>
  <si>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</si>
  <si>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</si>
  <si>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</si>
  <si>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</si>
  <si>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</si>
  <si>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</si>
  <si>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</si>
  <si>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</si>
  <si>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</si>
  <si>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</si>
  <si>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</si>
  <si>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</si>
  <si>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</si>
  <si>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</si>
  <si>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</si>
  <si>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</si>
  <si>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</si>
  <si>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</si>
  <si>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</si>
  <si>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</si>
  <si>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</si>
  <si>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</si>
  <si>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</si>
  <si>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</si>
  <si>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</si>
  <si>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</si>
  <si>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</si>
  <si>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</si>
  <si>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</si>
  <si>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</si>
  <si>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</si>
  <si>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</si>
  <si>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</si>
  <si>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</si>
  <si>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</si>
  <si>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</si>
  <si>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</si>
  <si>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</si>
  <si>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</si>
  <si>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</si>
  <si>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</si>
  <si>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</si>
  <si>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</si>
  <si>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</si>
  <si>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</si>
  <si>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</si>
  <si>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</si>
  <si>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</si>
  <si>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</si>
  <si>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</si>
  <si>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</si>
  <si>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</si>
  <si>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</si>
  <si>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</si>
  <si>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</si>
  <si>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</si>
  <si>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</si>
  <si>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</si>
  <si>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</si>
  <si>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</si>
  <si>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</si>
  <si>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</si>
  <si>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</si>
  <si>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</si>
  <si>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</si>
  <si>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</si>
  <si>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</si>
  <si>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</si>
  <si>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</si>
  <si>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</si>
  <si>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</si>
  <si>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</si>
  <si>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</si>
  <si>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</si>
  <si>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</si>
  <si>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</si>
  <si>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</si>
  <si>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</si>
  <si>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</si>
  <si>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</si>
  <si>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</si>
  <si>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</si>
  <si>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</si>
  <si>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</si>
  <si>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</si>
  <si>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</si>
  <si>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</si>
  <si>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</si>
  <si>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</si>
  <si>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</si>
  <si>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</si>
  <si>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</si>
  <si>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</si>
  <si>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</si>
  <si>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</si>
  <si>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</si>
  <si>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</si>
  <si>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</si>
  <si>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</si>
  <si>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</si>
  <si>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</si>
  <si>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</si>
  <si>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</si>
  <si>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</si>
  <si>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</si>
  <si>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</si>
  <si>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</si>
  <si>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</si>
  <si>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</si>
  <si>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</si>
  <si>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</si>
  <si>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</si>
  <si>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</si>
  <si>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</si>
  <si>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</si>
  <si>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</si>
  <si>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</si>
  <si>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</si>
  <si>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</si>
  <si>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</si>
  <si>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</si>
  <si>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</si>
  <si>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</si>
  <si>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</si>
  <si>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</si>
  <si>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</si>
  <si>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</si>
  <si>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</si>
  <si>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</si>
  <si>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</si>
  <si>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</si>
  <si>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</si>
  <si>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</si>
  <si>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</si>
  <si>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</si>
  <si>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</si>
  <si>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</si>
  <si>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</si>
  <si>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</si>
  <si>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</si>
  <si>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</si>
  <si>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</si>
  <si>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</si>
  <si>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</si>
  <si>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</si>
  <si>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</si>
  <si>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</si>
  <si>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</si>
  <si>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</si>
  <si>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</si>
  <si>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</si>
  <si>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</si>
  <si>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</si>
  <si>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</si>
  <si>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</si>
  <si>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</si>
  <si>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</si>
  <si>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</si>
  <si>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</si>
  <si>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</si>
  <si>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</si>
  <si>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</si>
  <si>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</si>
  <si>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</si>
  <si>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</si>
  <si>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</si>
  <si>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</si>
  <si>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</si>
  <si>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</si>
  <si>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</si>
  <si>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</si>
  <si>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</si>
  <si>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</si>
  <si>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</si>
  <si>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</si>
  <si>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</si>
  <si>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</si>
  <si>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</si>
  <si>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</si>
  <si>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</si>
  <si>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</si>
  <si>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</si>
  <si>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</si>
  <si>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</si>
  <si>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</si>
  <si>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</si>
  <si>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</si>
  <si>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</si>
  <si>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</si>
  <si>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</si>
  <si>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</si>
  <si>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</si>
  <si>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</si>
  <si>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</si>
  <si>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</si>
  <si>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</si>
  <si>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</si>
  <si>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</si>
  <si>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</si>
  <si>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</si>
  <si>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</si>
  <si>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</si>
  <si>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</si>
  <si>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</si>
  <si>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</si>
  <si>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</si>
  <si>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</si>
  <si>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</si>
  <si>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</si>
  <si>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</si>
  <si>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</si>
  <si>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</si>
  <si>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</si>
  <si>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</si>
  <si>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</si>
  <si>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</si>
  <si>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</si>
  <si>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</si>
  <si>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</si>
  <si>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</si>
  <si>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</si>
  <si>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</si>
  <si>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</si>
  <si>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</si>
  <si>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</si>
  <si>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</si>
  <si>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</si>
  <si>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</si>
  <si>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</si>
  <si>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</si>
  <si>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</si>
  <si>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</si>
  <si>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</si>
  <si>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</si>
  <si>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</si>
  <si>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</si>
  <si>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</si>
  <si>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</si>
  <si>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</si>
  <si>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</si>
  <si>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</si>
  <si>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</si>
  <si>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</si>
  <si>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</si>
  <si>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</si>
  <si>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</si>
  <si>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</si>
  <si>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</si>
  <si>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</si>
  <si>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</si>
  <si>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</si>
  <si>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</si>
  <si>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</si>
  <si>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</si>
  <si>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</si>
  <si>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</si>
  <si>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</si>
  <si>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</si>
  <si>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</si>
  <si>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</si>
  <si>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</si>
  <si>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</si>
  <si>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</si>
  <si>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</si>
  <si>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</si>
  <si>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</si>
  <si>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</si>
  <si>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</si>
  <si>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</si>
  <si>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</si>
  <si>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</si>
  <si>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</si>
  <si>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</si>
  <si>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</si>
  <si>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</si>
  <si>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</si>
  <si>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</si>
  <si>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</si>
  <si>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</si>
  <si>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</si>
  <si>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</si>
  <si>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</si>
  <si>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</si>
  <si>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</si>
  <si>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</si>
  <si>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</si>
  <si>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</si>
  <si>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</si>
  <si>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</si>
  <si>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</si>
  <si>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</si>
  <si>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</si>
  <si>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</si>
  <si>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</si>
  <si>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</si>
  <si>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</si>
  <si>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</si>
  <si>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</si>
  <si>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</si>
  <si>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</si>
  <si>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</si>
  <si>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</si>
  <si>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</si>
  <si>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</si>
  <si>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</si>
  <si>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</si>
  <si>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</si>
  <si>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</si>
  <si>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</si>
  <si>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</si>
  <si>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</si>
  <si>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</si>
  <si>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</si>
  <si>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</si>
  <si>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</si>
  <si>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</si>
  <si>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</si>
  <si>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</si>
  <si>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</si>
  <si>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</si>
  <si>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</si>
  <si>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</si>
  <si>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</si>
  <si>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</si>
  <si>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</si>
  <si>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</si>
  <si>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</si>
  <si>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</si>
  <si>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</si>
  <si>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</si>
  <si>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</si>
  <si>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</si>
  <si>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</si>
  <si>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</si>
  <si>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</si>
  <si>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</si>
  <si>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</si>
  <si>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</si>
  <si>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</si>
  <si>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</si>
  <si>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</si>
  <si>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</si>
  <si>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</si>
  <si>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</si>
  <si>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</si>
  <si>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</si>
  <si>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</si>
  <si>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</si>
  <si>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</si>
  <si>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</si>
  <si>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</si>
  <si>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</si>
  <si>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</si>
  <si>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</si>
  <si>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</si>
  <si>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</si>
  <si>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</si>
  <si>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</si>
  <si>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</si>
  <si>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</si>
  <si>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</si>
  <si>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</si>
  <si>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</si>
  <si>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</si>
  <si>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</si>
  <si>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</si>
  <si>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</si>
  <si>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</si>
  <si>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</si>
  <si>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</si>
  <si>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</si>
  <si>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</si>
  <si>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</si>
  <si>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</si>
  <si>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</si>
  <si>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</si>
  <si>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</si>
  <si>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</si>
  <si>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</si>
  <si>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</si>
  <si>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</si>
  <si>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</si>
  <si>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</si>
  <si>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</si>
  <si>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</si>
  <si>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</si>
  <si>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</si>
  <si>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</si>
  <si>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</si>
  <si>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</si>
  <si>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</si>
  <si>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</si>
  <si>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</si>
  <si>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</si>
  <si>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</si>
  <si>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</si>
  <si>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</si>
  <si>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</si>
  <si>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</si>
  <si>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</si>
  <si>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</si>
  <si>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</si>
  <si>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</si>
  <si>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</si>
  <si>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</si>
  <si>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</si>
  <si>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</si>
  <si>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</si>
  <si>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</si>
  <si>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</si>
  <si>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</si>
  <si>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</si>
  <si>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</si>
  <si>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</si>
  <si>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</si>
  <si>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</si>
  <si>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</si>
  <si>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</si>
  <si>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</si>
  <si>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</si>
  <si>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</si>
  <si>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</si>
  <si>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</si>
  <si>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</si>
  <si>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</si>
  <si>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</si>
  <si>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</si>
  <si>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</si>
  <si>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</si>
  <si>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</si>
  <si>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</si>
  <si>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</si>
  <si>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</si>
  <si>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</si>
  <si>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</si>
  <si>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</si>
  <si>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</si>
  <si>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</si>
  <si>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</si>
  <si>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</si>
  <si>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</si>
  <si>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</si>
  <si>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</si>
  <si>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</si>
  <si>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</si>
  <si>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</si>
  <si>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</si>
  <si>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</si>
  <si>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</si>
  <si>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</si>
  <si>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1-0</t>
  </si>
  <si>
    <t>1-1</t>
  </si>
  <si>
    <t>3-0</t>
  </si>
  <si>
    <t>8-0</t>
  </si>
  <si>
    <t>8-1</t>
  </si>
  <si>
    <t>9-0</t>
  </si>
  <si>
    <t>11-0</t>
  </si>
  <si>
    <t>12-0</t>
  </si>
  <si>
    <t>14-0</t>
  </si>
  <si>
    <t>15-0</t>
  </si>
  <si>
    <t>16-0</t>
  </si>
  <si>
    <t>18-0</t>
  </si>
  <si>
    <t>18-1</t>
  </si>
  <si>
    <t>19-0</t>
  </si>
  <si>
    <t>20-0</t>
  </si>
  <si>
    <t>21-0</t>
  </si>
  <si>
    <t>21-1</t>
  </si>
  <si>
    <t>21-2</t>
  </si>
  <si>
    <t>22-0</t>
  </si>
  <si>
    <t>22-1</t>
  </si>
  <si>
    <t>22-2</t>
  </si>
  <si>
    <t>23-0</t>
  </si>
  <si>
    <t>31-0</t>
  </si>
  <si>
    <t>33-0</t>
  </si>
  <si>
    <t>47-0</t>
  </si>
  <si>
    <t>47-1</t>
  </si>
  <si>
    <t>49-0</t>
  </si>
  <si>
    <t>980-0</t>
  </si>
  <si>
    <t>2-0</t>
  </si>
  <si>
    <t>3-1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</si>
</sst>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6" fillId="3" borderId="0" xfId="0" applyFont="1" applyFill="1" applyAlignment="1"/>
    <xf numFmtId="0" fontId="6" fillId="3" borderId="0" xfId="0" applyFont="1" applyFill="1" applyAlignment="1">
      <alignment wrapText="1"/>
    </xf>
    <xf numFmtId="0" fontId="0" fillId="0" borderId="0" xfId="0" applyAlignment="1"/>
    <xf numFmtId="0" fontId="0" fillId="5" borderId="4" xfId="0" applyFill="1" applyBorder="1" applyAlignment="1"/>
    <xf numFmtId="0" fontId="6" fillId="3" borderId="0" xfId="0" applyFont="1" applyFill="1" applyAlignment="1">
      <alignment horizontal="left" wrapText="1" indent="1"/>
    </xf>
    <xf numFmtId="0" fontId="0" fillId="0" borderId="0" xfId="0" applyAlignment="1">
      <alignment horizontal="left" indent="1"/>
    </xf>
    <xf numFmtId="3" fontId="0" fillId="3" borderId="0" xfId="0" applyNumberFormat="1" applyFill="1" applyAlignment="1"/>
    <xf numFmtId="0" fontId="0" fillId="3" borderId="0" xfId="0" applyFill="1" applyAlignment="1"/>
    <xf numFmtId="0" fontId="23" fillId="5" borderId="3" xfId="0" applyFont="1" applyFill="1" applyBorder="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0" fontId="0" fillId="3" borderId="0" xfId="0" applyFill="1" applyAlignment="1">
      <alignment horizontal="right"/>
    </xf>
    <xf numFmtId="0" fontId="0" fillId="0" borderId="0" xfId="0" applyAlignment="1">
      <alignment horizontal="right"/>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3" fontId="6" fillId="3" borderId="0" xfId="0" applyNumberFormat="1" applyFont="1" applyFill="1" applyAlignment="1"/>
    <xf numFmtId="3" fontId="0" fillId="3" borderId="0" xfId="0" applyNumberFormat="1" applyFont="1" applyFill="1" applyAlignment="1"/>
    <xf numFmtId="3" fontId="6" fillId="0" borderId="0" xfId="0" applyNumberFormat="1" applyFont="1" applyAlignment="1"/>
    <xf numFmtId="0" fontId="24" fillId="5" borderId="3" xfId="0" applyFont="1" applyFill="1" applyBorder="1" applyAlignment="1"/>
    <xf numFmtId="0" fontId="0" fillId="3" borderId="0" xfId="0" applyFont="1" applyFill="1" applyAlignment="1"/>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3" fontId="10" fillId="0" borderId="0" xfId="0" applyNumberFormat="1" applyFont="1" applyFill="1" applyAlignment="1"/>
    <xf numFmtId="165" fontId="10" fillId="0" borderId="0" xfId="0" applyNumberFormat="1" applyFont="1" applyFill="1" applyAlignment="1"/>
    <xf numFmtId="3" fontId="0" fillId="0" borderId="0" xfId="0" applyNumberFormat="1" applyAlignment="1"/>
    <xf numFmtId="0" fontId="10" fillId="0" borderId="0" xfId="0" applyFont="1" applyFill="1" applyAlignment="1"/>
    <xf numFmtId="3" fontId="11" fillId="0" borderId="0" xfId="0" applyNumberFormat="1" applyFont="1" applyFill="1" applyAlignment="1"/>
    <xf numFmtId="0" fontId="0" fillId="0" borderId="0" xfId="0" applyFill="1" applyAlignment="1"/>
    <xf numFmtId="3" fontId="6" fillId="0" borderId="0" xfId="0" applyNumberFormat="1" applyFont="1" applyFill="1" applyAlignment="1"/>
    <xf numFmtId="0" fontId="11" fillId="0" borderId="0" xfId="0" applyFont="1" applyFill="1" applyAlignment="1"/>
    <xf numFmtId="0" fontId="0" fillId="0" borderId="0" xfId="0" applyFont="1" applyFill="1" applyAlignment="1"/>
    <xf numFmtId="3" fontId="10" fillId="3" borderId="0" xfId="0" applyNumberFormat="1" applyFont="1" applyFill="1" applyAlignment="1"/>
    <xf numFmtId="0" fontId="0" fillId="0" borderId="0" xfId="0" applyFont="1" applyAlignment="1"/>
    <xf numFmtId="0" fontId="11" fillId="0" borderId="0" xfId="0" applyFont="1" applyFill="1" applyAlignment="1">
      <alignment horizontal="left" wrapText="1" indent="3"/>
    </xf>
    <xf numFmtId="0" fontId="0" fillId="0" borderId="0" xfId="0" applyAlignment="1">
      <alignment horizontal="left" indent="3"/>
    </xf>
    <xf numFmtId="0" fontId="11" fillId="0" borderId="0" xfId="0" applyFont="1" applyFill="1" applyAlignment="1">
      <alignment wrapText="1"/>
    </xf>
    <xf numFmtId="165" fontId="11" fillId="0" borderId="0" xfId="0" applyNumberFormat="1" applyFont="1" applyFill="1" applyAlignment="1"/>
    <xf numFmtId="165" fontId="6" fillId="0" borderId="0" xfId="0" applyNumberFormat="1" applyFont="1" applyFill="1" applyAlignment="1"/>
    <xf numFmtId="0" fontId="10" fillId="3" borderId="0" xfId="0" applyFont="1" applyFill="1" applyAlignment="1"/>
    <xf numFmtId="0" fontId="10" fillId="0" borderId="0" xfId="0" applyFont="1" applyFill="1" applyAlignment="1">
      <alignment horizontal="right"/>
    </xf>
    <xf numFmtId="3" fontId="0" fillId="0" borderId="0" xfId="0" applyNumberFormat="1" applyFill="1" applyAlignment="1"/>
    <xf numFmtId="0" fontId="0" fillId="0" borderId="0" xfId="0" applyAlignment="1">
      <alignment wrapText="1"/>
    </xf>
    <xf numFmtId="0" fontId="6" fillId="0" borderId="0" xfId="0" applyFont="1" applyAlignment="1">
      <alignment wrapText="1"/>
    </xf>
    <xf numFmtId="0" fontId="6" fillId="3" borderId="0" xfId="0" applyFont="1" applyFill="1" applyBorder="1" applyAlignment="1">
      <alignment wrapText="1"/>
    </xf>
    <xf numFmtId="0" fontId="6" fillId="3" borderId="0" xfId="0" applyFont="1" applyFill="1" applyBorder="1" applyAlignment="1"/>
    <xf numFmtId="0" fontId="0" fillId="3" borderId="0" xfId="0" applyFill="1" applyBorder="1" applyAlignment="1"/>
    <xf numFmtId="0" fontId="6" fillId="3" borderId="0" xfId="0" applyFont="1" applyFill="1" applyAlignment="1">
      <alignment horizontal="left" wrapText="1"/>
    </xf>
    <xf numFmtId="0" fontId="0" fillId="0" borderId="0" xfId="0" applyAlignment="1">
      <alignment horizontal="left" wrapText="1"/>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23" fillId="3" borderId="0" xfId="0" applyFont="1" applyFill="1" applyBorder="1" applyAlignment="1"/>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40" val="35"/>
</file>

<file path=xl/ctrlProps/ctrlProp348.xml><?xml version="1.0" encoding="utf-8"?>
<formControlPr xmlns="http://schemas.microsoft.com/office/spreadsheetml/2009/9/main" objectType="Drop" dropStyle="combo" dx="16" fmlaLink="Regn2!$P$18" fmlaRange="Efgrnavn" noThreeD="1" sel="5" val="3"/>
</file>

<file path=xl/ctrlProps/ctrlProp349.xml><?xml version="1.0" encoding="utf-8"?>
<formControlPr xmlns="http://schemas.microsoft.com/office/spreadsheetml/2009/9/main" objectType="Drop" dropStyle="combo" dx="16" fmlaLink="Regn2!$R$18" fmlaRange="Afgrnavn" noThreeD="1" sel="40" val="35"/>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sel="5" val="3"/>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40" val="35"/>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sel="2"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26" val="23"/>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26" val="24"/>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26" val="21"/>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sel="4" val="0"/>
</file>

<file path=xl/ctrlProps/ctrlProp372.xml><?xml version="1.0" encoding="utf-8"?>
<formControlPr xmlns="http://schemas.microsoft.com/office/spreadsheetml/2009/9/main" objectType="Drop" dropStyle="combo" dx="16" fmlaLink="Regn2!$O$22" fmlaRange="Afgrnavn" noThreeD="1" sel="23" val="19"/>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23" val="19"/>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40" val="33"/>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40" val="34"/>
</file>

<file path=xl/ctrlProps/ctrlProp385.xml><?xml version="1.0" encoding="utf-8"?>
<formControlPr xmlns="http://schemas.microsoft.com/office/spreadsheetml/2009/9/main" objectType="Drop" dropStyle="combo" dx="16" fmlaLink="Regn2!$P$24" fmlaRange="Efgrnavn" noThreeD="1" sel="5" val="0"/>
</file>

<file path=xl/ctrlProps/ctrlProp386.xml><?xml version="1.0" encoding="utf-8"?>
<formControlPr xmlns="http://schemas.microsoft.com/office/spreadsheetml/2009/9/main" objectType="Drop" dropStyle="combo" dx="16" fmlaLink="Regn2!$R$24" fmlaRange="Afgrnavn" noThreeD="1" sel="40" val="32"/>
</file>

<file path=xl/ctrlProps/ctrlProp387.xml><?xml version="1.0" encoding="utf-8"?>
<formControlPr xmlns="http://schemas.microsoft.com/office/spreadsheetml/2009/9/main" objectType="Drop" dropStyle="combo" dx="16" fmlaLink="Regn2!$T$24" fmlaRange="Efgrnavn" noThreeD="1" sel="5"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40" val="33"/>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sel="2"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19" val="18"/>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19" val="17"/>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40" val="33"/>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26" val="23"/>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26" val="20"/>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26" val="19"/>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sel="4"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40" val="32"/>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40" val="34"/>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40" val="35"/>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40" val="34"/>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0"/>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4"/>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40" val="34"/>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1"/>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4"/>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40" val="34"/>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1"/>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35" val="34"/>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40" val="35"/>
</file>

<file path=xl/ctrlProps/ctrlProp471.xml><?xml version="1.0" encoding="utf-8"?>
<formControlPr xmlns="http://schemas.microsoft.com/office/spreadsheetml/2009/9/main" objectType="Drop" dropStyle="combo" dx="16" fmlaLink="Regn2!$T$38" fmlaRange="Efgrnavn" noThreeD="1" sel="5" val="3"/>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40" val="35"/>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26" val="21"/>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26" val="23"/>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6" val="24"/>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11" val="4"/>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sel="4" val="0"/>
</file>

<file path=xl/ctrlProps/ctrlProp492.xml><?xml version="1.0" encoding="utf-8"?>
<formControlPr xmlns="http://schemas.microsoft.com/office/spreadsheetml/2009/9/main" objectType="Drop" dropStyle="combo" dx="16" fmlaLink="Regn2!$O$42" fmlaRange="Afgrnavn" noThreeD="1" sel="26" val="20"/>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6" val="22"/>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6" val="23"/>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11" val="4"/>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6" val="23"/>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6" val="21"/>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6" val="21"/>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11"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4" val="0"/>
</file>

<file path=xl/ctrlProps/ctrlProp516.xml><?xml version="1.0" encoding="utf-8"?>
<formControlPr xmlns="http://schemas.microsoft.com/office/spreadsheetml/2009/9/main" objectType="Drop" dropStyle="combo" dx="16" fmlaLink="Regn2!$O$46" fmlaRange="Afgrnavn" noThreeD="1" sel="35" val="34"/>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sel="40" val="34"/>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sel="35" val="3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11" val="4"/>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sel="19" val="13"/>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sel="19" val="16"/>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sel="19" val="15"/>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11" val="4"/>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sel="28" val="25"/>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sel="28" val="25"/>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sel="28" val="2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11" val="4"/>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sel="4" val="0"/>
</file>

<file path=xl/ctrlProps/ctrlProp552.xml><?xml version="1.0" encoding="utf-8"?>
<formControlPr xmlns="http://schemas.microsoft.com/office/spreadsheetml/2009/9/main" objectType="Drop" dropStyle="combo" dx="16" fmlaLink="Regn2!$O$52" fmlaRange="Afgrnavn" noThreeD="1" sel="35" val="34"/>
</file>

<file path=xl/ctrlProps/ctrlProp553.xml><?xml version="1.0" encoding="utf-8"?>
<formControlPr xmlns="http://schemas.microsoft.com/office/spreadsheetml/2009/9/main" objectType="Drop" dropStyle="combo" dx="16" fmlaLink="Regn2!$P$52" fmlaRange="Efgrnavn" noThreeD="1" sel="5" val="0"/>
</file>

<file path=xl/ctrlProps/ctrlProp554.xml><?xml version="1.0" encoding="utf-8"?>
<formControlPr xmlns="http://schemas.microsoft.com/office/spreadsheetml/2009/9/main" objectType="Drop" dropStyle="combo" dx="16" fmlaLink="Regn2!$R$52" fmlaRange="Afgrnavn" noThreeD="1" sel="40" val="34"/>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sel="35" val="29"/>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11" val="4"/>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sel="26" val="2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sel="26" val="23"/>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sel="26" val="2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11"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sel="4" val="0"/>
</file>

<file path=xl/ctrlProps/ctrlProp576.xml><?xml version="1.0" encoding="utf-8"?>
<formControlPr xmlns="http://schemas.microsoft.com/office/spreadsheetml/2009/9/main" objectType="Drop" dropStyle="combo" dx="16" fmlaLink="Regn2!$O$56" fmlaRange="Afgrnavn" noThreeD="1" sel="26" val="23"/>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sel="26" val="21"/>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sel="26" val="21"/>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11" val="4"/>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sel="4" val="0"/>
</file>

<file path=xl/ctrlProps/ctrlProp588.xml><?xml version="1.0" encoding="utf-8"?>
<formControlPr xmlns="http://schemas.microsoft.com/office/spreadsheetml/2009/9/main" objectType="Drop" dropStyle="combo" dx="16" fmlaLink="Regn2!$O$58" fmlaRange="Afgrnavn" noThreeD="1" sel="26" val="23"/>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sel="26" val="25"/>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sel="26" val="23"/>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11" val="4"/>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sel="4"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sel="19" val="18"/>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sel="19" val="13"/>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sel="19" val="14"/>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11" val="4"/>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sel="35" val="29"/>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sel="35" val="34"/>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sel="40" val="34"/>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sel="19" val="14"/>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sel="19" val="16"/>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sel="19" val="17"/>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11" val="4"/>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sel="19" val="14"/>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sel="19" val="14"/>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sel="40" val="35"/>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sel="40" val="34"/>
</file>

<file path=xl/ctrlProps/ctrlProp649.xml><?xml version="1.0" encoding="utf-8"?>
<formControlPr xmlns="http://schemas.microsoft.com/office/spreadsheetml/2009/9/main" objectType="Drop" dropStyle="combo" dx="16" fmlaLink="Regn2!$P$68" fmlaRange="Efgrnavn" noThreeD="1" sel="5"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sel="40" val="33"/>
</file>

<file path=xl/ctrlProps/ctrlProp651.xml><?xml version="1.0" encoding="utf-8"?>
<formControlPr xmlns="http://schemas.microsoft.com/office/spreadsheetml/2009/9/main" objectType="Drop" dropStyle="combo" dx="16" fmlaLink="Regn2!$T$68" fmlaRange="Efgrnavn" noThreeD="1" sel="2"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sel="40" val="35"/>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sel="2"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sel="40" val="35"/>
</file>

<file path=xl/ctrlProps/ctrlProp661.xml><?xml version="1.0" encoding="utf-8"?>
<formControlPr xmlns="http://schemas.microsoft.com/office/spreadsheetml/2009/9/main" objectType="Drop" dropStyle="combo" dx="16" fmlaLink="Regn2!$P$70" fmlaRange="Efgrnavn" noThreeD="1" sel="5" val="0"/>
</file>

<file path=xl/ctrlProps/ctrlProp662.xml><?xml version="1.0" encoding="utf-8"?>
<formControlPr xmlns="http://schemas.microsoft.com/office/spreadsheetml/2009/9/main" objectType="Drop" dropStyle="combo" dx="16" fmlaLink="Regn2!$R$70" fmlaRange="Afgrnavn" noThreeD="1" sel="40" val="32"/>
</file>

<file path=xl/ctrlProps/ctrlProp663.xml><?xml version="1.0" encoding="utf-8"?>
<formControlPr xmlns="http://schemas.microsoft.com/office/spreadsheetml/2009/9/main" objectType="Drop" dropStyle="combo" dx="16" fmlaLink="Regn2!$T$70" fmlaRange="Efgrnavn" noThreeD="1" sel="2"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sel="40" val="34"/>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sel="2"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sel="29" val="28"/>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sel="29" val="24"/>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sel="29" val="27"/>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sel="3" val="0"/>
</file>

<file path=xl/ctrlProps/ctrlProp684.xml><?xml version="1.0" encoding="utf-8"?>
<formControlPr xmlns="http://schemas.microsoft.com/office/spreadsheetml/2009/9/main" objectType="Drop" dropStyle="combo" dx="16" fmlaLink="Regn2!$O$74" fmlaRange="Afgrnavn" noThreeD="1" sel="23" val="18"/>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sel="23" val="20"/>
</file>

<file path=xl/ctrlProps/ctrlProp687.xml><?xml version="1.0" encoding="utf-8"?>
<formControlPr xmlns="http://schemas.microsoft.com/office/spreadsheetml/2009/9/main" objectType="Drop" dropStyle="combo" dx="16" fmlaLink="Regn2!$T$74" fmlaRange="Efgrnavn" noThreeD="1" val="7"/>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sel="40" val="35"/>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sel="40" val="34"/>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sel="40" val="32"/>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sel="40" val="33"/>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editAs="oneCell">
    <xdr:from>
      <xdr:col>25</xdr:col>
      <xdr:colOff>142874</xdr:colOff>
      <xdr:row>0</xdr:row>
      <xdr:rowOff>57150</xdr:rowOff>
    </xdr:from>
    <xdr:to>
      <xdr:col>35</xdr:col>
      <xdr:colOff>790574</xdr:colOff>
      <xdr:row>11</xdr:row>
      <xdr:rowOff>24689</xdr:rowOff>
    </xdr:to>
    <xdr:pic>
      <xdr:nvPicPr>
        <xdr:cNvPr id="2" name="Billed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8224" y="57150"/>
          <a:ext cx="3876675" cy="17677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1-0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40</v>
      </c>
      <c r="P18">
        <v>5</v>
      </c>
      <c r="Q18" t="b">
        <v>0</v>
      </c>
      <c r="R18">
        <v>40</v>
      </c>
      <c r="S18">
        <v>1</v>
      </c>
      <c r="T18">
        <v>5</v>
      </c>
      <c r="U18">
        <v>2</v>
      </c>
      <c r="V18">
        <v>1</v>
      </c>
      <c r="X18">
        <v>40</v>
      </c>
      <c r="Z18">
        <f>Nbal!AG18</f>
        <v>4.25</v>
      </c>
      <c r="AA18">
        <v>1</v>
      </c>
      <c r="AB18">
        <f>VLOOKUP($R18,Afgr,G18)</f>
        <v>110</v>
      </c>
      <c r="AC18">
        <f>VLOOKUP($O18,Afgr,Data!$AI$3)*VLOOKUP(R18,Afgr,Data!$AJ$3)</f>
        <v>0</v>
      </c>
      <c r="AD18">
        <f>IF($Q18,0,VLOOKUP($P18,Efgr,(Data!$W$53+$V$6-1)))</f>
        <v>17</v>
      </c>
      <c r="AE18">
        <f>AB18-AC18-AD18</f>
        <v>93</v>
      </c>
      <c r="AF18">
        <f>AE18*Z18</f>
        <v>395.25</v>
      </c>
      <c r="AH18">
        <f>VLOOKUP(R18,Afgr,D18)</f>
        <v>56</v>
      </c>
      <c r="AI18">
        <f>VLOOKUP(O18,Afgr,Data!$AL$3)*VLOOKUP(R18,Afgr,E18)</f>
        <v>0</v>
      </c>
      <c r="AJ18">
        <f>VLOOKUP(P18,Efgr,(Data!$Y$53+I18))</f>
        <v>0</v>
      </c>
      <c r="AK18">
        <f>AH18+AI18+AJ18</f>
        <v>56</v>
      </c>
      <c r="AL18">
        <f>AH18+AI18+AJ18</f>
        <v>56</v>
      </c>
      <c r="AM18" s="3">
        <f>IF(Nbal!CK18&lt;&gt;"",Nbal!CK18,AL18)</f>
        <v>56</v>
      </c>
      <c r="AN18">
        <f>AM18*Z18</f>
        <v>238</v>
      </c>
      <c r="AO18" t="str">
        <f>VLOOKUP(R18,Afgr,3)</f>
        <v>hkg</v>
      </c>
      <c r="AP18">
        <f>IF(AO18="FE",VLOOKUP($R18,Afgr,Data!$AV$3),0)</f>
        <v>0</v>
      </c>
      <c r="AR18">
        <f>VLOOKUP(R18,Afgr,4)</f>
        <v>145</v>
      </c>
      <c r="AS18" s="3">
        <f>IF(Nbal!CW18&lt;&gt;"",Nbal!CW18,AR18)</f>
        <v>145</v>
      </c>
      <c r="AT18" s="3">
        <f>AM18*AS18</f>
        <v>8120</v>
      </c>
      <c r="AU18" s="3">
        <f>AN18*AS18</f>
        <v>34510</v>
      </c>
      <c r="AW18">
        <f>VLOOKUP(R18,Afgr,Data!$AN$3)</f>
        <v>0</v>
      </c>
      <c r="AX18" s="3">
        <f>IF(Nbal!DC18&lt;&gt;"",Nbal!DC18,AW18)</f>
        <v>0</v>
      </c>
      <c r="AY18" s="3">
        <f>AX18*Z18</f>
        <v>0</v>
      </c>
      <c r="BA18">
        <f>VLOOKUP(R18,Afgr,H18)</f>
        <v>3000</v>
      </c>
      <c r="BB18">
        <f>IF(ISERROR(BA18*AM18/AK18),0,(BA18*AM18/AK18))</f>
        <v>3000</v>
      </c>
      <c r="BC18" s="3">
        <f>IF(Nbal!DI18&lt;&gt;"",Nbal!DI18,BB18)</f>
        <v>3000</v>
      </c>
      <c r="BD18">
        <f>BC18*Z18</f>
        <v>12750</v>
      </c>
      <c r="BG18">
        <f>IF($S18=1,BC18,0)</f>
        <v>3000</v>
      </c>
      <c r="BH18">
        <f>IF($S18=1,BD18,0)</f>
        <v>12750</v>
      </c>
      <c r="BI18">
        <f>VLOOKUP(R18,Afgr,Data!$AM$3)</f>
        <v>0.5</v>
      </c>
      <c r="BJ18">
        <f>IF(Nbal!DR18&lt;&gt;"",Nbal!DR18,BI18)</f>
        <v>0.5</v>
      </c>
      <c r="BK18">
        <f>BG18*BJ18</f>
        <v>1500</v>
      </c>
      <c r="BL18">
        <f>BH18*BJ18</f>
        <v>6375</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27</v>
      </c>
      <c r="CB18" s="2">
        <f>Nbal!DZ18</f>
        <v>0</v>
      </c>
      <c r="CC18" s="211">
        <f>Nbal!AT18+Nbal!DZ18</f>
        <v>27</v>
      </c>
      <c r="CD18" s="211">
        <f>Nbal!AX18</f>
        <v>0</v>
      </c>
      <c r="CE18">
        <f>Nbal!BH18</f>
        <v>0</v>
      </c>
      <c r="CF18" s="211">
        <f>Nbal!BM18</f>
        <v>87</v>
      </c>
      <c r="CG18" s="2">
        <f>Nbal!EI18</f>
        <v>0</v>
      </c>
      <c r="CH18" s="211">
        <f>Nbal!BM18+Nbal!EI18</f>
        <v>87</v>
      </c>
      <c r="CI18" s="211">
        <f>Nbal!BW18</f>
        <v>0</v>
      </c>
      <c r="CJ18" s="211">
        <f>Nbal!BH18*Nbal!BJ18*0.01</f>
        <v>0</v>
      </c>
      <c r="CK18" s="211">
        <f>(Nbal!BM18*Nbal!BP18*0.01)</f>
        <v>63.945</v>
      </c>
      <c r="CL18" s="211">
        <f>(Nbal!EI18*Nbal!EL18*0.01)</f>
        <v>0</v>
      </c>
      <c r="CM18" s="211">
        <f>(Nbal!BM18*Nbal!BP18*0.01)+(Nbal!EI18*Nbal!EL18*0.01)</f>
        <v>63.945</v>
      </c>
      <c r="CN18" s="211">
        <f>Nbal!BW18*Nbal!BY18*0.01</f>
        <v>0</v>
      </c>
      <c r="CO18">
        <f>Nbal!BT18+Nbal!ER18</f>
        <v>0</v>
      </c>
      <c r="CQ18">
        <f>Nbal!BA18</f>
        <v>0</v>
      </c>
      <c r="CR18">
        <f>Nbal!EC18</f>
        <v>0</v>
      </c>
      <c r="CS18">
        <f>(CQ18+CR18)*Z18</f>
        <v>0</v>
      </c>
      <c r="CT18">
        <f>Nbal!CB18</f>
        <v>17</v>
      </c>
      <c r="CU18">
        <f>Nbal!EV18</f>
        <v>0</v>
      </c>
      <c r="CV18">
        <f>(CT18+CU18)*Z18</f>
        <v>72.25</v>
      </c>
      <c r="CW18">
        <f>Nbal!BA18+Nbal!CB18+Nbal!EC18+Nbal!EV18</f>
        <v>17</v>
      </c>
      <c r="CY18">
        <f>Nbal!BD18</f>
        <v>0</v>
      </c>
      <c r="CZ18">
        <f>Nbal!EF18</f>
        <v>0</v>
      </c>
      <c r="DA18">
        <f>(CY18+CZ18)*Z18</f>
        <v>0</v>
      </c>
      <c r="DB18">
        <f>Nbal!CE18</f>
        <v>47</v>
      </c>
      <c r="DC18">
        <f>Nbal!EY18</f>
        <v>0</v>
      </c>
      <c r="DD18">
        <f>(DB18+DC18)*Z18</f>
        <v>199.75</v>
      </c>
      <c r="DE18">
        <f>Nbal!BD18+Nbal!CE18+Nbal!EF18+Nbal!EY18</f>
        <v>47</v>
      </c>
      <c r="DG18">
        <f>VLOOKUP($R18,Afgr,Data!$AW$3)</f>
        <v>11.1875</v>
      </c>
      <c r="DH18">
        <f>IF($AO18="FE",$AM18*$AP18*$DG18*0.01,$AM18*100*$DM18*0.01*$DG18*0.01)</f>
        <v>532.52499999999998</v>
      </c>
      <c r="DI18">
        <f>IF(VLOOKUP(R18,Afgr,Data!$BO$3)=1,DH18,0)*Z18</f>
        <v>2263.2312499999998</v>
      </c>
      <c r="DJ18" s="12">
        <f>(BZ18+CC18+CJ18-AE18)*VLOOKUP($R18,Afgr,Data!$AX$3)</f>
        <v>-1.32</v>
      </c>
      <c r="DK18">
        <f>DG18+DJ18</f>
        <v>9.8674999999999997</v>
      </c>
      <c r="DL18">
        <f>IF(Nbal!CQ18&lt;&gt;"",Nbal!CQ18,DK18)</f>
        <v>9.8674999999999997</v>
      </c>
      <c r="DM18">
        <f>VLOOKUP(R18,Afgr,Data!$AT$3)</f>
        <v>85</v>
      </c>
      <c r="DN18">
        <f>IF($AO18="FE",$AM18*$AP18*$DL18*0.01,$AM18*100*$DM18*0.01*DL18*0.01)</f>
        <v>469.69299999999998</v>
      </c>
      <c r="DO18">
        <f>IF(VLOOKUP(R18,Afgr,Data!$BO$3)=1,DN18,0)*Z18</f>
        <v>1996.19525</v>
      </c>
      <c r="DP18">
        <f>IF(ISERROR(DN18/VLOOKUP(R18,Afgr,Data!$AY$3)),0,DN18/VLOOKUP(R18,Afgr,Data!$AY$3))</f>
        <v>75.150880000000001</v>
      </c>
      <c r="DQ18">
        <f>DP18*Z18</f>
        <v>319.39123999999998</v>
      </c>
      <c r="DS18">
        <f>IF($AO18="FE",$AM18*$AP18*VLOOKUP($R18,Afgr,Data!$BC$3)*0.001,$AM18*100*$DM18*0.01*VLOOKUP($R18,Afgr,Data!$BC$3)*0.001)</f>
        <v>18.088000000000001</v>
      </c>
      <c r="DT18">
        <f>DS18*Z18</f>
        <v>76.874000000000009</v>
      </c>
      <c r="DV18">
        <f>IF($AO18="FE",$AM18*$AP18*VLOOKUP($R18,Afgr,Data!$BF$3)*0.001,$AM18*100*$DM18*0.01*VLOOKUP($R18,Afgr,Data!$BF$3)*0.001)</f>
        <v>22.372</v>
      </c>
      <c r="DW18">
        <f>DV18*Z18</f>
        <v>95.081000000000003</v>
      </c>
      <c r="DY18">
        <f>IF(ISERROR(VLOOKUP(R18,Afgr,Data!$AZ$3)*DL18/DG18),0,VLOOKUP(R18,Afgr,Data!$AZ$3)*DL18/DG18)</f>
        <v>3.52804469273743</v>
      </c>
      <c r="DZ18">
        <f>VLOOKUP(R18,Afgr,Data!$AU$3)</f>
        <v>85</v>
      </c>
      <c r="EA18">
        <f>IF($S18=1,$BC18*$DZ18*0.01*DY18*0.01,0)</f>
        <v>89.965139664804468</v>
      </c>
      <c r="EB18">
        <f>EA18/6.25</f>
        <v>14.394422346368716</v>
      </c>
      <c r="EC18">
        <f>EB18*Z18</f>
        <v>61.176294972067041</v>
      </c>
      <c r="EE18">
        <f>IF($S18=1,$BC18*$DZ18*0.01*VLOOKUP($R18,Afgr,Data!$BD$3)*0.001,0)</f>
        <v>2.2949999999999999</v>
      </c>
      <c r="EF18">
        <f>EE18*Z18</f>
        <v>9.7537500000000001</v>
      </c>
      <c r="EH18">
        <f>IF($S18=1,$BC18*$DZ18*0.01*VLOOKUP($R18,Afgr,Data!$BG$3)*0.001,0)</f>
        <v>30.6</v>
      </c>
      <c r="EI18">
        <f>EH18*Z18</f>
        <v>130.05000000000001</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90.944999999999993</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27</v>
      </c>
      <c r="FG18" s="211">
        <f>FF18*Z18</f>
        <v>114.75</v>
      </c>
      <c r="FH18" s="211">
        <f>CE18+CH18+CO18</f>
        <v>87</v>
      </c>
      <c r="FI18" s="211">
        <f>FH18*Z18</f>
        <v>369.75</v>
      </c>
      <c r="FJ18">
        <f>VLOOKUP($R18,Afgr,Data!$DK$3)*VLOOKUP($R18,Afgr,Data!$AT$3)*0.01*VLOOKUP($R18,Afgr,Data!$AW$3)*0.01/6.25</f>
        <v>2.4344000000000001</v>
      </c>
      <c r="FK18">
        <f>FJ18*Z18</f>
        <v>10.3462</v>
      </c>
      <c r="FL18" s="4">
        <f>IF(R18&gt;1,Deposition,0)</f>
        <v>15</v>
      </c>
      <c r="FM18" s="4">
        <f>FL18*Z18</f>
        <v>63.75</v>
      </c>
      <c r="FN18">
        <f>FC18</f>
        <v>0</v>
      </c>
      <c r="FO18">
        <f>FN18*Z18</f>
        <v>0</v>
      </c>
      <c r="FP18" s="211">
        <f>SUM(FF18,FH18,FJ18,FL18,FN18)</f>
        <v>131.43439999999998</v>
      </c>
      <c r="FQ18">
        <f>DP18+EB18+EL18</f>
        <v>89.545302346368715</v>
      </c>
      <c r="FR18" s="3">
        <f>FP18-FQ18</f>
        <v>41.889097653631268</v>
      </c>
      <c r="FS18" s="19">
        <f>FP18*Z18</f>
        <v>558.59619999999995</v>
      </c>
      <c r="FT18" s="19">
        <f>FQ18*Z18</f>
        <v>380.56753497206705</v>
      </c>
      <c r="FU18" s="3">
        <f>FR18*Z18</f>
        <v>178.0286650279329</v>
      </c>
      <c r="FW18">
        <f>CW18</f>
        <v>17</v>
      </c>
      <c r="FX18">
        <f>FW18*Z18</f>
        <v>72.25</v>
      </c>
      <c r="FY18">
        <f>IX18+MB18</f>
        <v>20.383000000000003</v>
      </c>
      <c r="FZ18">
        <f>FY18*Z18</f>
        <v>86.627750000000006</v>
      </c>
      <c r="GA18">
        <f>FW18-FY18</f>
        <v>-3.3830000000000027</v>
      </c>
      <c r="GB18">
        <f>GA18*Z18</f>
        <v>-14.377750000000011</v>
      </c>
      <c r="GD18">
        <f>DE18</f>
        <v>47</v>
      </c>
      <c r="GE18">
        <f>GD18*Z18</f>
        <v>199.75</v>
      </c>
      <c r="GF18">
        <f>JE18+MH18</f>
        <v>52.972000000000001</v>
      </c>
      <c r="GG18">
        <f>GF18*Z18</f>
        <v>225.131</v>
      </c>
      <c r="GH18">
        <f>GD18-GF18</f>
        <v>-5.9720000000000013</v>
      </c>
      <c r="GI18">
        <f>GH18*Z18</f>
        <v>-25.381000000000007</v>
      </c>
      <c r="GK18">
        <f>AA18</f>
        <v>1</v>
      </c>
      <c r="GL18" s="211">
        <f>FF18+FH18+FN18</f>
        <v>114</v>
      </c>
      <c r="GM18" s="211">
        <f>IF(R18=1,"",IF(GK18=1,GL18,""))</f>
        <v>114</v>
      </c>
      <c r="GN18" s="211" t="str">
        <f>IF(R18=1,"",IF(GK18=2,GL18,""))</f>
        <v/>
      </c>
      <c r="GO18" s="211" t="str">
        <f>IF(R18=1,"",IF(GK18=3,GL18,""))</f>
        <v/>
      </c>
      <c r="GP18" s="211" t="str">
        <f>IF(R18=1,"",IF(GK18=4,GL18,""))</f>
        <v/>
      </c>
      <c r="GQ18" s="149">
        <f>IF(OR(R18=1,VLOOKUP(R18,Afgr,Data!$BV$3)=1,VLOOKUP(R18,Afgr,Data!$BW$3)=1),0,IF(GK18=1,Nniveau1,IF(GK18=2,Nniveau2,IF(GK18=3,Nniveau3,IF(GK18=4,Nniveau4,GL18)))))</f>
        <v>197.65542292344122</v>
      </c>
      <c r="GR18" s="1">
        <v>0.32550000000000001</v>
      </c>
      <c r="GS18" s="6">
        <v>0</v>
      </c>
      <c r="GT18" s="149">
        <f>CC18+CM18</f>
        <v>90.944999999999993</v>
      </c>
      <c r="GU18" s="6">
        <f>$FN18</f>
        <v>0</v>
      </c>
      <c r="GV18" s="1">
        <v>0.25280000000000002</v>
      </c>
      <c r="GW18">
        <f>CO18</f>
        <v>0</v>
      </c>
      <c r="GX18" s="1">
        <v>0.376</v>
      </c>
      <c r="GY18" s="149">
        <f>CD18+CN18</f>
        <v>0</v>
      </c>
      <c r="GZ18" s="1">
        <f>IF(B18&gt;3,0.3539,1.0749)</f>
        <v>0.35389999999999999</v>
      </c>
      <c r="HA18" s="11">
        <f>$FQ18</f>
        <v>89.545302346368715</v>
      </c>
      <c r="HB18" s="1">
        <v>0.19359999999999999</v>
      </c>
      <c r="HC18" s="1">
        <f>VLOOKUP($R18,Afgr,Data!$DM$3)</f>
        <v>1</v>
      </c>
      <c r="HD18" s="24">
        <f>IF($HC18&gt;1,0,(VLOOKUP($X18,Afgr,Data!$DP$3)+IF(VLOOKUP($X18,Afgr,Data!$DP$3)=0,VLOOKUP($T18,Efgr,Data!$BI$53,0))))+IF(AND($HC18=7,VLOOKUP($X18,Afgr,Data!$DQ$3)=-2),-2,0)+IF(AND($HC18=6,VLOOKUP($T18,Efgr,Data!$BI$53)=2),8,0)</f>
        <v>2</v>
      </c>
      <c r="HE18" s="6">
        <f>VLOOKUP(SUM(HC18:HD18),Nlesafgr,3)</f>
        <v>-98.6</v>
      </c>
      <c r="HF18" s="7">
        <f>VLOOKUP($O18,Afgr,Data!$DN$3)</f>
        <v>1</v>
      </c>
      <c r="HG18" s="24">
        <f>IF(HF18&gt;1,0,VLOOKUP($R18,Afgr,Data!$DO$3)+IF(VLOOKUP($R18,Afgr,Data!$DO$3)=1,0,VLOOKUP($P18,Efgr,Data!$BJ$53)))</f>
        <v>1</v>
      </c>
      <c r="HH18" s="6">
        <f>VLOOKUP(SUM(HF18:HG18),Nlesforfrugt,3)</f>
        <v>14.2</v>
      </c>
      <c r="HI18" s="1">
        <f>GR18*GQ18+GV18*(GT18+GU18)+GX18*GW18+GZ18*GY18-HB18*HA18+HE18+HH18</f>
        <v>-14.408234372676876</v>
      </c>
      <c r="HJ18" s="1">
        <f>Nlesafskaering</f>
        <v>59.6</v>
      </c>
      <c r="HK18" s="1">
        <f>Teknologi1</f>
        <v>2455</v>
      </c>
      <c r="HL18" s="6">
        <v>2001</v>
      </c>
      <c r="HM18" s="1">
        <f>Teknologi2</f>
        <v>1962.2</v>
      </c>
      <c r="HN18" s="1">
        <f>Tandel</f>
        <v>0.54659999999999997</v>
      </c>
      <c r="HO18" s="1">
        <f>IF(OR(HI18&gt;0,HI18=0),HJ18+HK18/(HL18-HM18),HJ18+HK18/(HL18-HM18)+HN18*HI18)</f>
        <v>114.99765496818355</v>
      </c>
      <c r="HP18" s="1">
        <f>IF(HI18&gt;0,HI18,0.001)</f>
        <v>1E-3</v>
      </c>
      <c r="HQ18" s="1">
        <v>1.5020000000000001E-3</v>
      </c>
      <c r="HR18" s="24">
        <f>IF(R18=1,0,VLOOKUP(PostnrNbal,AfstromData,VLOOKUP($R18,Afgr,Data!$DL$3)+IF(Jordtype1&lt;7,Jordtype1,6),FALSE)-VLOOKUP(T18,Efgr,Data!$AA$53))</f>
        <v>284.76666666666603</v>
      </c>
      <c r="HS18" s="24">
        <f>IF(Nbal!GA18&lt;&gt;"",Nbal!GA18,Regn2!HR18)</f>
        <v>284.76666666666603</v>
      </c>
      <c r="HT18" s="1">
        <v>5.5400000000000002E-4</v>
      </c>
      <c r="HU18" s="24">
        <f>IF(R18=1,0,VLOOKUP(PostnrNbal,AfstromData,VLOOKUP($O18,Afgr,Data!$DL$3)+IF(B18&lt;7,B18,6),FALSE)-VLOOKUP(P18,Efgr,Data!$AA$53))</f>
        <v>284.76666666666603</v>
      </c>
      <c r="HV18" s="24">
        <f>IF(Nbal!FU18&lt;&gt;"",Nbal!FU18,Regn2!HU18)</f>
        <v>284.76666666666603</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20.942767723685982</v>
      </c>
      <c r="ID18">
        <f>IC18*Z18</f>
        <v>89.006762825665419</v>
      </c>
      <c r="IE18">
        <f>IF(Nbal!GF18&lt;&gt;"",Nbal!GF18,RetentionNbal)</f>
        <v>65</v>
      </c>
      <c r="IF18">
        <f>IC18*(100-IE18)*0.01</f>
        <v>7.3299687032900946</v>
      </c>
      <c r="IG18">
        <f>IF18*Z18</f>
        <v>31.152366988982902</v>
      </c>
      <c r="IH18" s="2">
        <f>HS18*10000</f>
        <v>2847666.6666666605</v>
      </c>
      <c r="II18" s="2">
        <f>IH18*Z18</f>
        <v>12102583.333333306</v>
      </c>
      <c r="IJ18">
        <f>IF(ISERROR(IC18*1000*1000/IH18),0,IC18*1000*1000/IH18)</f>
        <v>7.3543606661662286</v>
      </c>
      <c r="IL18">
        <f>AT18+AX18+BK18+BU18</f>
        <v>9620</v>
      </c>
      <c r="IO18">
        <f>VLOOKUP(R18,Afgr,Data!$AP$3)*UdsaedJust</f>
        <v>488</v>
      </c>
      <c r="IP18" s="3">
        <f>IF(Nbal!GN18&lt;&gt;"",Nbal!GN18,IO18)</f>
        <v>488</v>
      </c>
      <c r="IQ18" s="3">
        <f>IP18*Z18</f>
        <v>2074</v>
      </c>
      <c r="IS18" s="3">
        <f>IF(HdgVaerdiNbal=1,(BZ18+CA18)*Npris,(BZ18+CA18+CJ18+CK18)*Npris)</f>
        <v>228.14999999999998</v>
      </c>
      <c r="IT18" s="3">
        <f>IS18*Z18</f>
        <v>969.63749999999993</v>
      </c>
      <c r="IV18">
        <f>VLOOKUP($R18,Afgr,Data!$BA$3)</f>
        <v>0</v>
      </c>
      <c r="IW18">
        <f>VLOOKUP($R18,Afgr,Data!$BB$3)</f>
        <v>2.5</v>
      </c>
      <c r="IX18">
        <f>$DS18+$EE18</f>
        <v>20.383000000000003</v>
      </c>
      <c r="IY18">
        <f>CT18</f>
        <v>17</v>
      </c>
      <c r="IZ18">
        <f>CQ18</f>
        <v>0</v>
      </c>
      <c r="JA18" s="3">
        <f>IF(HdgVaerdiNbal=1,(IZ18)*Ppris,(IY18+IZ18)*Ppris)</f>
        <v>0</v>
      </c>
      <c r="JB18" s="3">
        <f>JA18*Z18</f>
        <v>0</v>
      </c>
      <c r="JD18">
        <f>IF(AND(R18&gt;1,OR(Jordtype1=1,Jordtype1=3,Markvand1=2)),Kudvask,0)</f>
        <v>0</v>
      </c>
      <c r="JE18">
        <f>$DV18+$EH18</f>
        <v>52.972000000000001</v>
      </c>
      <c r="JF18">
        <f>DB18</f>
        <v>47</v>
      </c>
      <c r="JG18">
        <f>CY18</f>
        <v>0</v>
      </c>
      <c r="JH18" s="3">
        <f>IF(HdgVaerdiNbal=1,JG18*Kpris,(JF18+JG18)*Kpris)</f>
        <v>0</v>
      </c>
      <c r="JI18" s="3">
        <f>JH18*Z18</f>
        <v>0</v>
      </c>
      <c r="JK18">
        <f>IS18+JA18+JH18</f>
        <v>228.14999999999998</v>
      </c>
      <c r="JL18" s="3">
        <f>IF(Nbal!GT18&lt;&gt;"",Nbal!GT18,$JK18)</f>
        <v>228.14999999999998</v>
      </c>
      <c r="JM18" s="3">
        <f>JL18*Z18</f>
        <v>969.63749999999993</v>
      </c>
      <c r="JO18">
        <f>VLOOKUP(R18,Afgr,Data!$AQ$3)*PlantevJust</f>
        <v>283</v>
      </c>
      <c r="JP18" s="3">
        <f>IF(Nbal!GZ18&lt;&gt;"",Nbal!GZ18,JO18)</f>
        <v>283</v>
      </c>
      <c r="JQ18" s="3">
        <f>JP18*Z18</f>
        <v>1202.75</v>
      </c>
      <c r="JS18">
        <f>VLOOKUP(R18,Afgr,Data!$AR$3)+AM18*VLOOKUP(R18,Afgr,Data!$BH$3)</f>
        <v>0</v>
      </c>
      <c r="JT18" s="3">
        <f>IF(Nbal!HF18&lt;&gt;"",Nbal!HF18,JS18)</f>
        <v>0</v>
      </c>
      <c r="JU18">
        <f>JT18*Z18</f>
        <v>0</v>
      </c>
      <c r="JW18">
        <f>IP18+JL18+JP18+JT18</f>
        <v>999.15</v>
      </c>
      <c r="JY18">
        <f>IF(VLOOKUP(R18,Afgr,Data!$BY$3)&gt;0,Data!$K$259*J18,0)</f>
        <v>600</v>
      </c>
      <c r="JZ18">
        <f>IF(VLOOKUP(R18,Afgr,Data!$BZ$3)&gt;0,Data!$K$260*J18,0)</f>
        <v>0</v>
      </c>
      <c r="KA18">
        <f>(JY18+JZ18)*MaskJust</f>
        <v>600</v>
      </c>
      <c r="KB18" s="3">
        <f>IF(Nbal!HL18&lt;&gt;"",Nbal!HL18,KA18)</f>
        <v>600</v>
      </c>
      <c r="KC18" s="3">
        <f>KB18*Z18</f>
        <v>2550</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1487.5</v>
      </c>
      <c r="KP18">
        <f>IF(VLOOKUP(R18,Afgr,Data!$CJ$3)&gt;0,VLOOKUP(R18,Afgr,Data!$CJ$3)*Data!$K$268*K18,0)*MaskJust</f>
        <v>140</v>
      </c>
      <c r="KQ18" s="3">
        <f>IF(Nbal!HX18&lt;&gt;"",Nbal!HX18,KP18)</f>
        <v>140</v>
      </c>
      <c r="KR18" s="3">
        <f>KQ18*Z18</f>
        <v>595</v>
      </c>
      <c r="KT18">
        <f>IF(VLOOKUP(R18,Afgr,Data!$CI$3)&gt;0,VLOOKUP(R18,Afgr,Data!$CI$3)*Data!$K$269,0)*MaskJust</f>
        <v>300</v>
      </c>
      <c r="KU18" s="3">
        <f>IF(Nbal!ID18&lt;&gt;"",Nbal!ID18,KT18)</f>
        <v>300</v>
      </c>
      <c r="KV18" s="3">
        <f>KU18*Z18</f>
        <v>1275</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746.47058823529403</v>
      </c>
      <c r="LE18">
        <f>IF(VLOOKUP($R18,Afgr,Data!$CK$3)&gt;0,IF(AND($S18=2,$BA18&gt;0),Data!$K$271,0),0)</f>
        <v>0</v>
      </c>
      <c r="LF18">
        <f>IF(VLOOKUP($R18,Afgr,Data!$CK$3)&gt;0,(AM18/VLOOKUP($R18,Afgr,Data!$CK$3))*VLOOKUP($R18,Afgr,Data!$CO$3)*VLOOKUP($R18,Afgr,Data!$CN$3),0)</f>
        <v>214.11764705882354</v>
      </c>
      <c r="LG18">
        <f>(LD18+LE18+LF18)*MaskJust</f>
        <v>960.58823529411757</v>
      </c>
      <c r="LH18" s="3">
        <f>IF(Nbal!IV18&lt;&gt;"",Nbal!IV18,LG18)</f>
        <v>960.58823529411757</v>
      </c>
      <c r="LI18" s="3">
        <f>LH18*Z18</f>
        <v>4082.4999999999995</v>
      </c>
      <c r="LJ18" s="3"/>
      <c r="LK18">
        <f>IF(AND($S18=1,VLOOKUP($R18,Afgr,Data!$CP$3)&gt;0),((1+$BC18/VLOOKUP($R18,Afgr,Data!$CP$3))/2)*VLOOKUP($R18,Afgr,Data!$CQ$3),0)</f>
        <v>525</v>
      </c>
      <c r="LL18">
        <f>IF(AND($S18=1,VLOOKUP($R18,Afgr,Data!$CP$3)&gt;0),($BC18/VLOOKUP($R18,Afgr,Data!$CP$3))*VLOOKUP($R18,Afgr,Data!$CR$3),0)</f>
        <v>200</v>
      </c>
      <c r="LM18">
        <f>(LK18+LL18)*MaskJust</f>
        <v>725</v>
      </c>
      <c r="LN18" s="3">
        <f>IF(Nbal!JB18&lt;&gt;"",Nbal!JB18,LM18)</f>
        <v>725</v>
      </c>
      <c r="LO18" s="3">
        <f>LN18*Z18</f>
        <v>3081.25</v>
      </c>
      <c r="LQ18">
        <f>$AM18*VLOOKUP($R18,Afgr,Data!$CS$3)*IF($V18=1,VLOOKUP($R18,Afgr,Data!$CT$3),IF($V18=2,VLOOKUP($R18,Afgr,Data!$CU$3),0))</f>
        <v>517.44000000000005</v>
      </c>
      <c r="LR18" s="3">
        <f>IF(Nbal!JK18&lt;&gt;"",Nbal!JK18,LQ18)</f>
        <v>517.44000000000005</v>
      </c>
      <c r="LS18" s="3">
        <f>LR18*Z18</f>
        <v>2199.1200000000003</v>
      </c>
      <c r="LU18">
        <f>VLOOKUP($T18,Efgr,Data!$AC$53)*UdsaedJust</f>
        <v>160</v>
      </c>
      <c r="LV18" s="3">
        <f>IF(Nbal!$JS18&lt;&gt;"",Nbal!$JS18,LU18)</f>
        <v>160</v>
      </c>
      <c r="LW18" s="3">
        <f>LV18*Z18</f>
        <v>680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160</v>
      </c>
      <c r="NB18">
        <f>VLOOKUP($T18,Efgr,Data!$AU$53)*K18*MaskJust</f>
        <v>75</v>
      </c>
      <c r="NC18" s="3">
        <f>IF(Nbal!KQ18&lt;&gt;"",Nbal!KQ18,NB18)</f>
        <v>75</v>
      </c>
      <c r="ND18" s="3">
        <f>NC18*Z18</f>
        <v>318.75</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180</v>
      </c>
      <c r="OA18" s="3">
        <f>IF(Nbal!MA18&lt;&gt;"",Nbal!MA18,NZ18)</f>
        <v>180</v>
      </c>
      <c r="OB18" s="3">
        <f>OA18*Z18</f>
        <v>765</v>
      </c>
      <c r="OD18">
        <f>IL18</f>
        <v>9620</v>
      </c>
      <c r="OE18">
        <f>JW18+MZ18</f>
        <v>1159.1500000000001</v>
      </c>
      <c r="OF18">
        <f>OD18-OE18</f>
        <v>8460.85</v>
      </c>
      <c r="OG18">
        <f>OF18*Z18</f>
        <v>35958.612500000003</v>
      </c>
      <c r="OJ18">
        <f>VLOOKUP($O18,Afgr,Data!$BP$3)+VLOOKUP($P18,Efgr,Data!$AM$53)</f>
        <v>1</v>
      </c>
      <c r="OK18" s="3">
        <f>OJ18*Z18</f>
        <v>4.25</v>
      </c>
      <c r="OL18">
        <f>VLOOKUP($R18,Afgr,Data!$BP$3)+VLOOKUP($T18,Efgr,Data!$AM$53)</f>
        <v>1</v>
      </c>
      <c r="OM18" s="3">
        <f>OL18*Z18</f>
        <v>4.25</v>
      </c>
      <c r="OO18">
        <f>VLOOKUP($P18,Efgr,Data!$AN$53)</f>
        <v>1</v>
      </c>
      <c r="OP18">
        <f>VLOOKUP($O18,Afgr,Data!$BQ$3)</f>
        <v>1</v>
      </c>
      <c r="OQ18">
        <f>VLOOKUP($R18,Afgr,Data!$BR$3)</f>
        <v>1</v>
      </c>
      <c r="OR18">
        <f>OO18*OP18*OQ18</f>
        <v>1</v>
      </c>
      <c r="OS18" s="3">
        <f>OR18*Z18</f>
        <v>4.25</v>
      </c>
      <c r="OT18" s="3">
        <f>IF(Q18,1,0)*OS18</f>
        <v>0</v>
      </c>
      <c r="OV18">
        <f>VLOOKUP($T18,Efgr,Data!$AN$53)</f>
        <v>1</v>
      </c>
      <c r="OW18">
        <f>VLOOKUP($R18,Afgr,Data!$BQ$3)</f>
        <v>1</v>
      </c>
      <c r="OX18">
        <f>VLOOKUP($X18,Afgr,Data!$BR$3)</f>
        <v>1</v>
      </c>
      <c r="OY18">
        <f>OV18*OW18*OX18</f>
        <v>1</v>
      </c>
      <c r="OZ18" s="3">
        <f>OY18*Z18</f>
        <v>4.25</v>
      </c>
      <c r="PB18">
        <f>VLOOKUP($T18,Efgr,Data!$AO$53)</f>
        <v>0</v>
      </c>
      <c r="PC18">
        <f>VLOOKUP($O18,Afgr,Data!$BQ$3)</f>
        <v>1</v>
      </c>
      <c r="PD18">
        <f>VLOOKUP($R18,Afgr,Data!$BS$3)</f>
        <v>0</v>
      </c>
      <c r="PE18" s="3">
        <f>PB18*PC18*PD18*$Z18</f>
        <v>0</v>
      </c>
      <c r="PG18">
        <f>VLOOKUP($T18,Efgr,Data!$AO$53)</f>
        <v>0</v>
      </c>
      <c r="PH18">
        <f>VLOOKUP($R18,Afgr,Data!$BQ$3)</f>
        <v>1</v>
      </c>
      <c r="PI18">
        <f>VLOOKUP($X18,Afgr,Data!$BS$3)</f>
        <v>0</v>
      </c>
      <c r="PJ18" s="3">
        <f>PG18*PH18*PI18*$Z18</f>
        <v>0</v>
      </c>
      <c r="PK18" s="3"/>
      <c r="PL18" s="3">
        <f>VLOOKUP($O18,Afgr,Data!$BU$3)</f>
        <v>0</v>
      </c>
      <c r="PM18" s="3">
        <f>PL18*Z18</f>
        <v>0</v>
      </c>
      <c r="PN18" s="3">
        <f>VLOOKUP($R18,Afgr,Data!$BU$3)</f>
        <v>0</v>
      </c>
      <c r="PO18" s="3">
        <f>PN18*Z18</f>
        <v>0</v>
      </c>
      <c r="PQ18">
        <f>VLOOKUP(R18,Afgr,Data!$BX$3)+VLOOKUP(T18,Efgr,Data!$AQ$53)</f>
        <v>0</v>
      </c>
      <c r="PR18">
        <f>IF(PQ18&gt;0,Z18,0)</f>
        <v>0</v>
      </c>
      <c r="PT18">
        <f>VLOOKUP($O18,Afgr,Data!$BT$3)</f>
        <v>1</v>
      </c>
      <c r="PU18" s="3">
        <f>PT18*Z18</f>
        <v>4.25</v>
      </c>
      <c r="PV18">
        <f>VLOOKUP($R18,Afgr,Data!$BT$3)</f>
        <v>1</v>
      </c>
      <c r="PW18" s="3">
        <f>PV18*Z18</f>
        <v>4.25</v>
      </c>
      <c r="PY18">
        <f>VLOOKUP($R18,Afgr,Data!$BV$3)</f>
        <v>0</v>
      </c>
      <c r="PZ18">
        <f>PY18*Z18</f>
        <v>0</v>
      </c>
      <c r="QB18">
        <f>VLOOKUP($R18,Afgr,Data!$BW$3)</f>
        <v>0</v>
      </c>
      <c r="QC18">
        <f>QB18*Z18</f>
        <v>0</v>
      </c>
      <c r="QE18">
        <f>AM18*IF(VLOOKUP($R18,Afgr,Data!$BJ$3)&gt;0,1,0)</f>
        <v>56</v>
      </c>
      <c r="QF18">
        <f>QE18*Z18</f>
        <v>238</v>
      </c>
      <c r="QH18">
        <f>AM18*VLOOKUP(R18,Afgr,Data!$BK$3)</f>
        <v>5292</v>
      </c>
      <c r="QI18">
        <f>Z18*QH18</f>
        <v>22491</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24276</v>
      </c>
      <c r="QS18">
        <f>IF(VLOOKUP($R18,Afgr,Data!$DA$3)="Vinterbyg",$AN18,0)*VLOOKUP($R18,Afgr,Data!$BJ$3)</f>
        <v>0</v>
      </c>
      <c r="QT18">
        <f>IF(VLOOKUP($R18,Afgr,Data!$DA$3)="Havre",$AN18,0)*VLOOKUP($R18,Afgr,Data!$BJ$3)</f>
        <v>0</v>
      </c>
      <c r="QU18">
        <f>IF(VLOOKUP($R18,Afgr,Data!$DA$3)="Hvede",$AN18,0)*VLOOKUP($R18,Afgr,Data!$BJ$3)</f>
        <v>0</v>
      </c>
      <c r="QV18">
        <f>IF(VLOOKUP($R18,Afgr,Data!$DA$3)="Triticale",$AN18,0)*VLOOKUP($R18,Afgr,Data!$BJ$3)</f>
        <v>0</v>
      </c>
      <c r="QW18">
        <f>IF(VLOOKUP($R18,Afgr,Data!$DA$3)="Rug",$AN18,0)*VLOOKUP($R18,Afgr,Data!$BJ$3)</f>
        <v>0</v>
      </c>
      <c r="QX18">
        <f>IF(VLOOKUP($R18,Afgr,Data!$DA$3)="Majs",$AN18,0)*VLOOKUP($R18,Afgr,Data!$BJ$3)</f>
        <v>0</v>
      </c>
      <c r="RA18">
        <f>IF(OV18+PB18&gt;0,1,0)</f>
        <v>1</v>
      </c>
      <c r="RB18">
        <f>RA18*LW18</f>
        <v>680</v>
      </c>
      <c r="RC18">
        <f>RA18*MT18</f>
        <v>0</v>
      </c>
      <c r="RD18">
        <f>ND18</f>
        <v>318.75</v>
      </c>
      <c r="RE18">
        <f>RA18*OB18</f>
        <v>765</v>
      </c>
      <c r="RH18">
        <f>VLOOKUP(B18,Jordtype,Data!$Y$112+DenitNr-1)</f>
        <v>7.25</v>
      </c>
      <c r="RI18">
        <f>FF18*VLOOKUP(B18,Jordtype,Data!$AB$112+DenitNr-1)</f>
        <v>1.08</v>
      </c>
      <c r="RJ18">
        <f>((CJ18+CK18+CL18+Regn2!CO18*0.7)-(RR18+RT18))*VLOOKUP(B18,Jordtype,Data!$AE$112+DenitNr-1)</f>
        <v>7.9550625000000013</v>
      </c>
      <c r="RK18">
        <f>0*VLOOKUP(B18,Jordtype,Data!$AE$112+DenitNr-1)</f>
        <v>0</v>
      </c>
      <c r="RL18">
        <f>Regn2!FD18*VLOOKUP(B18,Jordtype,Data!$AH$112+DenitNr-1)</f>
        <v>0</v>
      </c>
      <c r="RM18" s="3">
        <f>RH18+RI18+RJ18+RK18+RL18</f>
        <v>16.285062500000002</v>
      </c>
      <c r="RO18">
        <v>2</v>
      </c>
      <c r="RP18">
        <f>(FF18)*RO18*0.01</f>
        <v>0.54</v>
      </c>
      <c r="RQ18">
        <v>7</v>
      </c>
      <c r="RR18">
        <f>CE18*RQ18*0.01</f>
        <v>0</v>
      </c>
      <c r="RS18">
        <v>7</v>
      </c>
      <c r="RT18">
        <f>(Regn2!CF18+Regn2!CG18)*RS18*0.01</f>
        <v>6.09</v>
      </c>
      <c r="RW18">
        <f>VLOOKUP(R18,Afgr,Data!$EE$3)</f>
        <v>5</v>
      </c>
      <c r="RX18" s="3">
        <f>RP18+RR18+RT18+RV18+RW18</f>
        <v>11.629999999999999</v>
      </c>
    </row>
    <row r="19" spans="1:492" x14ac:dyDescent="0.25">
      <c r="GT19" s="12"/>
    </row>
    <row r="20" spans="1:492" x14ac:dyDescent="0.25">
      <c r="A20" s="214" t="str">
        <f>Nbal!B20</f>
        <v>1-1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26</v>
      </c>
      <c r="P20">
        <v>1</v>
      </c>
      <c r="Q20" t="b">
        <v>0</v>
      </c>
      <c r="R20">
        <v>26</v>
      </c>
      <c r="S20">
        <v>1</v>
      </c>
      <c r="T20">
        <v>1</v>
      </c>
      <c r="U20">
        <v>1</v>
      </c>
      <c r="V20">
        <v>1</v>
      </c>
      <c r="X20">
        <v>26</v>
      </c>
      <c r="Z20">
        <f>Nbal!AG20</f>
        <v>1.4</v>
      </c>
      <c r="AA20">
        <v>4</v>
      </c>
      <c r="AB20">
        <f>VLOOKUP($R20,Afgr,G20)</f>
        <v>134</v>
      </c>
      <c r="AC20">
        <f>VLOOKUP($O20,Afgr,Data!$AI$3)*VLOOKUP(R20,Afgr,Data!$AJ$3)</f>
        <v>0</v>
      </c>
      <c r="AD20">
        <f>IF($Q20,0,VLOOKUP($P20,Efgr,(Data!$W$53+$V$6-1)))</f>
        <v>0</v>
      </c>
      <c r="AE20">
        <f>AB20-AC20-AD20</f>
        <v>134</v>
      </c>
      <c r="AF20">
        <f>AE20*Z20</f>
        <v>187.6</v>
      </c>
      <c r="AH20">
        <f>VLOOKUP(R20,Afgr,D20)</f>
        <v>3000</v>
      </c>
      <c r="AI20">
        <f>VLOOKUP(O20,Afgr,Data!$AL$3)*VLOOKUP(R20,Afgr,E20)</f>
        <v>0</v>
      </c>
      <c r="AJ20">
        <f>VLOOKUP(P20,Efgr,(Data!$Y$53+I20))</f>
        <v>0</v>
      </c>
      <c r="AK20">
        <f>AH20+AI20+AJ20</f>
        <v>3000</v>
      </c>
      <c r="AL20">
        <f>AH20+AI20+AJ20</f>
        <v>3000</v>
      </c>
      <c r="AM20" s="3">
        <f>IF(Nbal!CK20&lt;&gt;"",Nbal!CK20,AL20)</f>
        <v>3000</v>
      </c>
      <c r="AN20">
        <f>AM20*Z20</f>
        <v>4200</v>
      </c>
      <c r="AO20" t="str">
        <f>VLOOKUP(R20,Afgr,3)</f>
        <v>FE</v>
      </c>
      <c r="AP20">
        <f>IF(AO20="FE",VLOOKUP($R20,Afgr,Data!$AV$3),0)</f>
        <v>1.1599999999999999</v>
      </c>
      <c r="AR20">
        <f>VLOOKUP(R20,Afgr,4)</f>
        <v>1.2</v>
      </c>
      <c r="AS20" s="3">
        <f>IF(Nbal!CW20&lt;&gt;"",Nbal!CW20,AR20)</f>
        <v>1.2</v>
      </c>
      <c r="AT20" s="3">
        <f>AM20*AS20</f>
        <v>3600</v>
      </c>
      <c r="AU20" s="3">
        <f>AN20*AS20</f>
        <v>5040</v>
      </c>
      <c r="AW20">
        <f>VLOOKUP(R20,Afgr,Data!$AN$3)</f>
        <v>0</v>
      </c>
      <c r="AX20" s="3">
        <f>IF(Nbal!DC20&lt;&gt;"",Nbal!DC20,AW20)</f>
        <v>0</v>
      </c>
      <c r="AY20" s="3">
        <f>AX20*Z20</f>
        <v>0</v>
      </c>
      <c r="BA20">
        <f>VLOOKUP(R20,Afgr,H20)</f>
        <v>0</v>
      </c>
      <c r="BB20">
        <f>IF(ISERROR(BA20*AM20/AK20),0,(BA20*AM20/AK20))</f>
        <v>0</v>
      </c>
      <c r="BC20" s="3">
        <f>IF(Nbal!DI20&lt;&gt;"",Nbal!DI20,BB20)</f>
        <v>0</v>
      </c>
      <c r="BD20">
        <f>BC20*Z20</f>
        <v>0</v>
      </c>
      <c r="BG20">
        <f>IF($S20=1,BC20,0)</f>
        <v>0</v>
      </c>
      <c r="BH20">
        <f>IF($S20=1,BD20,0)</f>
        <v>0</v>
      </c>
      <c r="BI20">
        <f>VLOOKUP(R20,Afgr,Data!$AM$3)</f>
        <v>0</v>
      </c>
      <c r="BJ20">
        <f>IF(Nbal!DR20&lt;&gt;"",Nbal!DR20,BI20)</f>
        <v>0</v>
      </c>
      <c r="BK20">
        <f>BG20*BJ20</f>
        <v>0</v>
      </c>
      <c r="BL20">
        <f>BH20*BJ20</f>
        <v>0</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52</v>
      </c>
      <c r="CB20" s="2">
        <f>Nbal!DZ20</f>
        <v>0</v>
      </c>
      <c r="CC20" s="211">
        <f>Nbal!AT20+Nbal!DZ20</f>
        <v>52</v>
      </c>
      <c r="CD20" s="211">
        <f>Nbal!AX20</f>
        <v>0</v>
      </c>
      <c r="CE20">
        <f>Nbal!BH20</f>
        <v>0</v>
      </c>
      <c r="CF20" s="211">
        <f>Nbal!BM20</f>
        <v>0</v>
      </c>
      <c r="CG20" s="2">
        <f>Nbal!EI20</f>
        <v>0</v>
      </c>
      <c r="CH20" s="211">
        <f>Nbal!BM20+Nbal!EI20</f>
        <v>0</v>
      </c>
      <c r="CI20" s="211">
        <f>Nbal!BW20</f>
        <v>0</v>
      </c>
      <c r="CJ20" s="211">
        <f>Nbal!BH20*Nbal!BJ20*0.01</f>
        <v>0</v>
      </c>
      <c r="CK20" s="211">
        <f>(Nbal!BM20*Nbal!BP20*0.01)</f>
        <v>0</v>
      </c>
      <c r="CL20" s="211">
        <f>(Nbal!EI20*Nbal!EL20*0.01)</f>
        <v>0</v>
      </c>
      <c r="CM20" s="211">
        <f>(Nbal!BM20*Nbal!BP20*0.01)+(Nbal!EI20*Nbal!EL20*0.01)</f>
        <v>0</v>
      </c>
      <c r="CN20" s="211">
        <f>Nbal!BW20*Nbal!BY20*0.01</f>
        <v>0</v>
      </c>
      <c r="CO20">
        <f>Nbal!BT20+Nbal!ER20</f>
        <v>0</v>
      </c>
      <c r="CQ20">
        <f>Nbal!BA20</f>
        <v>7</v>
      </c>
      <c r="CR20">
        <f>Nbal!EC20</f>
        <v>0</v>
      </c>
      <c r="CS20">
        <f>(CQ20+CR20)*Z20</f>
        <v>9.7999999999999989</v>
      </c>
      <c r="CT20">
        <f>Nbal!CB20</f>
        <v>0</v>
      </c>
      <c r="CU20">
        <f>Nbal!EV20</f>
        <v>0</v>
      </c>
      <c r="CV20">
        <f>(CT20+CU20)*Z20</f>
        <v>0</v>
      </c>
      <c r="CW20">
        <f>Nbal!BA20+Nbal!CB20+Nbal!EC20+Nbal!EV20</f>
        <v>7</v>
      </c>
      <c r="CY20">
        <f>Nbal!BD20</f>
        <v>24</v>
      </c>
      <c r="CZ20">
        <f>Nbal!EF20</f>
        <v>0</v>
      </c>
      <c r="DA20">
        <f>(CY20+CZ20)*Z20</f>
        <v>33.599999999999994</v>
      </c>
      <c r="DB20">
        <f>Nbal!CE20</f>
        <v>0</v>
      </c>
      <c r="DC20">
        <f>Nbal!EY20</f>
        <v>0</v>
      </c>
      <c r="DD20">
        <f>(DB20+DC20)*Z20</f>
        <v>0</v>
      </c>
      <c r="DE20">
        <f>Nbal!BD20+Nbal!CE20+Nbal!EF20+Nbal!EY20</f>
        <v>24</v>
      </c>
      <c r="DG20">
        <f>VLOOKUP($R20,Afgr,Data!$AW$3)</f>
        <v>14</v>
      </c>
      <c r="DH20">
        <f>IF($AO20="FE",$AM20*$AP20*$DG20*0.01,$AM20*100*$DM20*0.01*$DG20*0.01)</f>
        <v>487.19999999999993</v>
      </c>
      <c r="DI20">
        <f>IF(VLOOKUP(R20,Afgr,Data!$BO$3)=1,DH20,0)*Z20</f>
        <v>0</v>
      </c>
      <c r="DJ20" s="12">
        <f>(BZ20+CC20+CJ20-AE20)*VLOOKUP($R20,Afgr,Data!$AX$3)</f>
        <v>0</v>
      </c>
      <c r="DK20">
        <f>DG20+DJ20</f>
        <v>14</v>
      </c>
      <c r="DL20">
        <f>IF(Nbal!CQ20&lt;&gt;"",Nbal!CQ20,DK20)</f>
        <v>14</v>
      </c>
      <c r="DM20">
        <f>VLOOKUP(R20,Afgr,Data!$AT$3)</f>
        <v>0</v>
      </c>
      <c r="DN20">
        <f>IF($AO20="FE",$AM20*$AP20*$DL20*0.01,$AM20*100*$DM20*0.01*DL20*0.01)</f>
        <v>487.19999999999993</v>
      </c>
      <c r="DO20">
        <f>IF(VLOOKUP(R20,Afgr,Data!$BO$3)=1,DN20,0)*Z20</f>
        <v>0</v>
      </c>
      <c r="DP20">
        <f>IF(ISERROR(DN20/VLOOKUP(R20,Afgr,Data!$AY$3)),0,DN20/VLOOKUP(R20,Afgr,Data!$AY$3))</f>
        <v>77.951999999999984</v>
      </c>
      <c r="DQ20">
        <f>DP20*Z20</f>
        <v>109.13279999999997</v>
      </c>
      <c r="DS20">
        <f>IF($AO20="FE",$AM20*$AP20*VLOOKUP($R20,Afgr,Data!$BC$3)*0.001,$AM20*100*$DM20*0.01*VLOOKUP($R20,Afgr,Data!$BC$3)*0.001)</f>
        <v>9.743999999999998</v>
      </c>
      <c r="DT20">
        <f>DS20*Z20</f>
        <v>13.641599999999997</v>
      </c>
      <c r="DV20">
        <f>IF($AO20="FE",$AM20*$AP20*VLOOKUP($R20,Afgr,Data!$BF$3)*0.001,$AM20*100*$DM20*0.01*VLOOKUP($R20,Afgr,Data!$BF$3)*0.001)</f>
        <v>62.639999999999993</v>
      </c>
      <c r="DW20">
        <f>DV20*Z20</f>
        <v>87.695999999999984</v>
      </c>
      <c r="DY20">
        <f>IF(ISERROR(VLOOKUP(R20,Afgr,Data!$AZ$3)*DL20/DG20),0,VLOOKUP(R20,Afgr,Data!$AZ$3)*DL20/DG20)</f>
        <v>0</v>
      </c>
      <c r="DZ20">
        <f>VLOOKUP(R20,Afgr,Data!$AU$3)</f>
        <v>0</v>
      </c>
      <c r="EA20">
        <f>IF($S20=1,$BC20*$DZ20*0.01*DY20*0.01,0)</f>
        <v>0</v>
      </c>
      <c r="EB20">
        <f>EA20/6.25</f>
        <v>0</v>
      </c>
      <c r="EC20">
        <f>EB20*Z20</f>
        <v>0</v>
      </c>
      <c r="EE20">
        <f>IF($S20=1,$BC20*$DZ20*0.01*VLOOKUP($R20,Afgr,Data!$BD$3)*0.001,0)</f>
        <v>0</v>
      </c>
      <c r="EF20">
        <f>EE20*Z20</f>
        <v>0</v>
      </c>
      <c r="EH20">
        <f>IF($S20=1,$BC20*$DZ20*0.01*VLOOKUP($R20,Afgr,Data!$BG$3)*0.001,0)</f>
        <v>0</v>
      </c>
      <c r="EI20">
        <f>EH20*Z20</f>
        <v>0</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52</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52</v>
      </c>
      <c r="FG20" s="211">
        <f>FF20*Z20</f>
        <v>72.8</v>
      </c>
      <c r="FH20" s="211">
        <f>CE20+CH20+CO20</f>
        <v>0</v>
      </c>
      <c r="FI20" s="211">
        <f>FH20*Z20</f>
        <v>0</v>
      </c>
      <c r="FJ20">
        <f>VLOOKUP($R20,Afgr,Data!$DK$3)*VLOOKUP($R20,Afgr,Data!$AT$3)*0.01*VLOOKUP($R20,Afgr,Data!$AW$3)*0.01/6.25</f>
        <v>0</v>
      </c>
      <c r="FK20">
        <f>FJ20*Z20</f>
        <v>0</v>
      </c>
      <c r="FL20" s="4">
        <f>IF(R20&gt;1,Deposition,0)</f>
        <v>15</v>
      </c>
      <c r="FM20" s="4">
        <f>FL20*Z20</f>
        <v>21</v>
      </c>
      <c r="FN20">
        <f>FC20</f>
        <v>0</v>
      </c>
      <c r="FO20">
        <f>FN20*Z20</f>
        <v>0</v>
      </c>
      <c r="FP20" s="211">
        <f>SUM(FF20,FH20,FJ20,FL20,FN20)</f>
        <v>67</v>
      </c>
      <c r="FQ20">
        <f>DP20+EB20+EL20</f>
        <v>77.951999999999984</v>
      </c>
      <c r="FR20" s="3">
        <f>FP20-FQ20</f>
        <v>-10.951999999999984</v>
      </c>
      <c r="FS20" s="19">
        <f>FP20*Z20</f>
        <v>93.8</v>
      </c>
      <c r="FT20" s="19">
        <f>FQ20*Z20</f>
        <v>109.13279999999997</v>
      </c>
      <c r="FU20" s="3">
        <f>FR20*Z20</f>
        <v>-15.332799999999976</v>
      </c>
      <c r="FW20">
        <f>CW20</f>
        <v>7</v>
      </c>
      <c r="FX20">
        <f>FW20*Z20</f>
        <v>9.7999999999999989</v>
      </c>
      <c r="FY20">
        <f>IX20+MB20</f>
        <v>9.743999999999998</v>
      </c>
      <c r="FZ20">
        <f>FY20*Z20</f>
        <v>13.641599999999997</v>
      </c>
      <c r="GA20">
        <f>FW20-FY20</f>
        <v>-2.743999999999998</v>
      </c>
      <c r="GB20">
        <f>GA20*Z20</f>
        <v>-3.841599999999997</v>
      </c>
      <c r="GD20">
        <f>DE20</f>
        <v>24</v>
      </c>
      <c r="GE20">
        <f>GD20*Z20</f>
        <v>33.599999999999994</v>
      </c>
      <c r="GF20">
        <f>JE20+MH20</f>
        <v>62.639999999999993</v>
      </c>
      <c r="GG20">
        <f>GF20*Z20</f>
        <v>87.695999999999984</v>
      </c>
      <c r="GH20">
        <f>GD20-GF20</f>
        <v>-38.639999999999993</v>
      </c>
      <c r="GI20">
        <f>GH20*Z20</f>
        <v>-54.095999999999989</v>
      </c>
      <c r="GK20">
        <f>AA20</f>
        <v>4</v>
      </c>
      <c r="GL20" s="211">
        <f>FF20+FH20+FN20</f>
        <v>52</v>
      </c>
      <c r="GM20" s="211" t="str">
        <f>IF(R20=1,"",IF(GK20=1,GL20,""))</f>
        <v/>
      </c>
      <c r="GN20" s="211" t="str">
        <f>IF(R20=1,"",IF(GK20=2,GL20,""))</f>
        <v/>
      </c>
      <c r="GO20" s="211" t="str">
        <f>IF(R20=1,"",IF(GK20=3,GL20,""))</f>
        <v/>
      </c>
      <c r="GP20" s="211">
        <f>IF(R20=1,"",IF(GK20=4,GL20,""))</f>
        <v>52</v>
      </c>
      <c r="GQ20" s="149">
        <f>IF(OR(R20=1,VLOOKUP(R20,Afgr,Data!$BV$3)=1,VLOOKUP(R20,Afgr,Data!$BW$3)=1),0,IF(GK20=1,Nniveau1,IF(GK20=2,Nniveau2,IF(GK20=3,Nniveau3,IF(GK20=4,Nniveau4,GL20)))))</f>
        <v>46.222222222222221</v>
      </c>
      <c r="GR20" s="222">
        <v>0.32550000000000001</v>
      </c>
      <c r="GS20" s="6">
        <v>0</v>
      </c>
      <c r="GT20" s="149">
        <f>CC20+CM20</f>
        <v>52</v>
      </c>
      <c r="GU20" s="6">
        <f>$FN20</f>
        <v>0</v>
      </c>
      <c r="GV20" s="222">
        <v>0.25280000000000002</v>
      </c>
      <c r="GW20">
        <f>CO20</f>
        <v>0</v>
      </c>
      <c r="GX20" s="222">
        <v>0.376</v>
      </c>
      <c r="GY20" s="149">
        <f>CD20+CN20</f>
        <v>0</v>
      </c>
      <c r="GZ20" s="222">
        <f>IF(B20&gt;3,0.3539,1.0749)</f>
        <v>0.35389999999999999</v>
      </c>
      <c r="HA20" s="11">
        <f>$FQ20</f>
        <v>77.951999999999984</v>
      </c>
      <c r="HB20" s="222">
        <v>0.19359999999999999</v>
      </c>
      <c r="HC20" s="222">
        <f>VLOOKUP($R20,Afgr,Data!$DM$3)</f>
        <v>7</v>
      </c>
      <c r="HD20" s="24">
        <f>IF($HC20&gt;1,0,(VLOOKUP($X20,Afgr,Data!$DP$3)+IF(VLOOKUP($X20,Afgr,Data!$DP$3)=0,VLOOKUP($T20,Efgr,Data!$BI$53,0))))+IF(AND($HC20=7,VLOOKUP($X20,Afgr,Data!$DQ$3)=-2),-2,0)+IF(AND($HC20=6,VLOOKUP($T20,Efgr,Data!$BI$53)=2),8,0)</f>
        <v>0</v>
      </c>
      <c r="HE20" s="6">
        <f>VLOOKUP(SUM(HC20:HD20),Nlesafgr,3)</f>
        <v>-165.7</v>
      </c>
      <c r="HF20" s="7">
        <f>VLOOKUP($O20,Afgr,Data!$DN$3)</f>
        <v>4</v>
      </c>
      <c r="HG20" s="24">
        <f>IF(HF20&gt;1,0,VLOOKUP($R20,Afgr,Data!$DO$3)+IF(VLOOKUP($R20,Afgr,Data!$DO$3)=1,0,VLOOKUP($P20,Efgr,Data!$BJ$53)))</f>
        <v>0</v>
      </c>
      <c r="HH20" s="6">
        <f>VLOOKUP(SUM(HF20:HG20),Nlesforfrugt,3)</f>
        <v>34.700000000000003</v>
      </c>
      <c r="HI20" s="222">
        <f>GR20*GQ20+GV20*(GT20+GU20)+GX20*GW20+GZ20*GY20-HB20*HA20+HE20+HH20</f>
        <v>-117.90057386666665</v>
      </c>
      <c r="HJ20" s="222">
        <f>Nlesafskaering</f>
        <v>59.6</v>
      </c>
      <c r="HK20" s="222">
        <f>Teknologi1</f>
        <v>2455</v>
      </c>
      <c r="HL20" s="6">
        <v>2001</v>
      </c>
      <c r="HM20" s="222">
        <f>Teknologi2</f>
        <v>1962.2</v>
      </c>
      <c r="HN20" s="222">
        <f>Tandel</f>
        <v>0.54659999999999997</v>
      </c>
      <c r="HO20" s="222">
        <f>IF(OR(HI20&gt;0,HI20=0),HJ20+HK20/(HL20-HM20),HJ20+HK20/(HL20-HM20)+HN20*HI20)</f>
        <v>58.428742200768752</v>
      </c>
      <c r="HP20" s="222">
        <f>IF(HI20&gt;0,HI20,0.001)</f>
        <v>1E-3</v>
      </c>
      <c r="HQ20" s="222">
        <v>1.5020000000000001E-3</v>
      </c>
      <c r="HR20" s="24">
        <f>IF(R20=1,0,VLOOKUP(PostnrNbal,AfstromData,VLOOKUP($R20,Afgr,Data!$DL$3)+IF(Jordtype1&lt;7,Jordtype1,6),FALSE)-VLOOKUP(T20,Efgr,Data!$AA$53))</f>
        <v>272.32333333333298</v>
      </c>
      <c r="HS20" s="24">
        <f>IF(Nbal!GA20&lt;&gt;"",Nbal!GA20,Regn2!HR20)</f>
        <v>272.32333333333298</v>
      </c>
      <c r="HT20" s="222">
        <v>5.5400000000000002E-4</v>
      </c>
      <c r="HU20" s="24">
        <f>IF(R20=1,0,VLOOKUP(PostnrNbal,AfstromData,VLOOKUP($O20,Afgr,Data!$DL$3)+IF(B20&lt;7,B20,6),FALSE)-VLOOKUP(P20,Efgr,Data!$AA$53))</f>
        <v>272.32333333333298</v>
      </c>
      <c r="HV20" s="24">
        <f>IF(Nbal!FU20&lt;&gt;"",Nbal!FU20,Regn2!HU20)</f>
        <v>272.32333333333298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10.335664245017584</v>
      </c>
      <c r="ID20">
        <f>IC20*Z20</f>
        <v>14.469929943024617</v>
      </c>
      <c r="IE20">
        <f>IF(Nbal!GF20&lt;&gt;"",Nbal!GF20,RetentionNbal)</f>
        <v>65</v>
      </c>
      <c r="IF20">
        <f>IC20*(100-IE20)*0.01</f>
        <v>3.6174824857561543</v>
      </c>
      <c r="IG20">
        <f>IF20*Z20</f>
        <v>5.0644754800586158</v>
      </c>
      <c r="IH20" s="2">
        <f>HS20*10000</f>
        <v>2723233.3333333298</v>
      </c>
      <c r="II20" s="2">
        <f>IH20*Z20</f>
        <v>3812526.6666666614</v>
      </c>
      <c r="IJ20">
        <f>IF(ISERROR(IC20*1000*1000/IH20),0,IC20*1000*1000/IH20)</f>
        <v>3.7953649136507819</v>
      </c>
      <c r="IL20">
        <f>AT20+AX20+BK20+BU20</f>
        <v>3600</v>
      </c>
      <c r="IO20">
        <f>VLOOKUP(R20,Afgr,Data!$AP$3)*UdsaedJust</f>
        <v>0</v>
      </c>
      <c r="IP20" s="3">
        <f>IF(Nbal!GN20&lt;&gt;"",Nbal!GN20,IO20)</f>
        <v>0</v>
      </c>
      <c r="IQ20" s="3">
        <f>IP20*Z20</f>
        <v>0</v>
      </c>
      <c r="IS20" s="3">
        <f>IF(HdgVaerdiNbal=1,(BZ20+CA20)*Npris,(BZ20+CA20+CJ20+CK20)*Npris)</f>
        <v>439.4</v>
      </c>
      <c r="IT20" s="3">
        <f>IS20*Z20</f>
        <v>615.16</v>
      </c>
      <c r="IV20">
        <f>VLOOKUP($R20,Afgr,Data!$BA$3)</f>
        <v>0</v>
      </c>
      <c r="IW20">
        <f>VLOOKUP($R20,Afgr,Data!$BB$3)</f>
        <v>0</v>
      </c>
      <c r="IX20">
        <f>$DS20+$EE20</f>
        <v>9.743999999999998</v>
      </c>
      <c r="IY20">
        <f>CT20</f>
        <v>0</v>
      </c>
      <c r="IZ20">
        <f>CQ20</f>
        <v>7</v>
      </c>
      <c r="JA20" s="3">
        <f>IF(HdgVaerdiNbal=1,(IZ20)*Ppris,(IY20+IZ20)*Ppris)</f>
        <v>97.3</v>
      </c>
      <c r="JB20" s="3">
        <f>JA20*Z20</f>
        <v>136.22</v>
      </c>
      <c r="JD20">
        <f>IF(AND(R20&gt;1,OR(Jordtype1=1,Jordtype1=3,Markvand1=2)),Kudvask,0)</f>
        <v>0</v>
      </c>
      <c r="JE20">
        <f>$DV20+$EH20</f>
        <v>62.639999999999993</v>
      </c>
      <c r="JF20">
        <f>DB20</f>
        <v>0</v>
      </c>
      <c r="JG20">
        <f>CY20</f>
        <v>24</v>
      </c>
      <c r="JH20" s="3">
        <f>IF(HdgVaerdiNbal=1,JG20*Kpris,(JF20+JG20)*Kpris)</f>
        <v>156</v>
      </c>
      <c r="JI20" s="3">
        <f>JH20*Z20</f>
        <v>218.39999999999998</v>
      </c>
      <c r="JK20">
        <f>IS20+JA20+JH20</f>
        <v>692.69999999999993</v>
      </c>
      <c r="JL20" s="3">
        <f>IF(Nbal!GT20&lt;&gt;"",Nbal!GT20,$JK20)</f>
        <v>692.69999999999993</v>
      </c>
      <c r="JM20" s="3">
        <f>JL20*Z20</f>
        <v>969.77999999999986</v>
      </c>
      <c r="JO20">
        <f>VLOOKUP(R20,Afgr,Data!$AQ$3)*PlantevJust</f>
        <v>0</v>
      </c>
      <c r="JP20" s="3">
        <f>IF(Nbal!GZ20&lt;&gt;"",Nbal!GZ20,JO20)</f>
        <v>0</v>
      </c>
      <c r="JQ20" s="3">
        <f>JP20*Z20</f>
        <v>0</v>
      </c>
      <c r="JS20">
        <f>VLOOKUP(R20,Afgr,Data!$AR$3)+AM20*VLOOKUP(R20,Afgr,Data!$BH$3)</f>
        <v>0</v>
      </c>
      <c r="JT20" s="3">
        <f>IF(Nbal!HF20&lt;&gt;"",Nbal!HF20,JS20)</f>
        <v>0</v>
      </c>
      <c r="JU20">
        <f>JT20*Z20</f>
        <v>0</v>
      </c>
      <c r="JW20">
        <f>IP20+JL20+JP20+JT20</f>
        <v>692.69999999999993</v>
      </c>
      <c r="JY20">
        <f>IF(VLOOKUP(R20,Afgr,Data!$BY$3)&gt;0,Data!$K$259*J20,0)</f>
        <v>0</v>
      </c>
      <c r="JZ20">
        <f>IF(VLOOKUP(R20,Afgr,Data!$BZ$3)&gt;0,Data!$K$260*J20,0)</f>
        <v>0</v>
      </c>
      <c r="KA20">
        <f>(JY20+JZ20)*MaskJust</f>
        <v>0</v>
      </c>
      <c r="KB20" s="3">
        <f>IF(Nbal!HL20&lt;&gt;"",Nbal!HL20,KA20)</f>
        <v>0</v>
      </c>
      <c r="KC20" s="3">
        <f>KB20*Z20</f>
        <v>0</v>
      </c>
      <c r="KE20">
        <f>IF(VLOOKUP(R20,Afgr,Data!$CA$3)&gt;0,VLOOKUP(R20,Afgr,Data!$CA$3)*Data!$K$261*K20,0)</f>
        <v>0</v>
      </c>
      <c r="KF20">
        <f>IF(VLOOKUP(R20,Afgr,Data!$CC$3)&gt;0,Data!$K$262*K20,0)</f>
        <v>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0</v>
      </c>
      <c r="KM20" s="3">
        <f>IF(Nbal!HR20&lt;&gt;"",Nbal!HR20,KL20)</f>
        <v>0</v>
      </c>
      <c r="KN20" s="3">
        <f>KM20*Z20</f>
        <v>0</v>
      </c>
      <c r="KP20">
        <f>IF(VLOOKUP(R20,Afgr,Data!$CJ$3)&gt;0,VLOOKUP(R20,Afgr,Data!$CJ$3)*Data!$K$268*K20,0)*MaskJust</f>
        <v>280</v>
      </c>
      <c r="KQ20" s="3">
        <f>IF(Nbal!HX20&lt;&gt;"",Nbal!HX20,KP20)</f>
        <v>280</v>
      </c>
      <c r="KR20" s="3">
        <f>KQ20*Z20</f>
        <v>392</v>
      </c>
      <c r="KT20">
        <f>IF(VLOOKUP(R20,Afgr,Data!$CI$3)&gt;0,VLOOKUP(R20,Afgr,Data!$CI$3)*Data!$K$269,0)*MaskJust</f>
        <v>0</v>
      </c>
      <c r="KU20" s="3">
        <f>IF(Nbal!ID20&lt;&gt;"",Nbal!ID20,KT20)</f>
        <v>0</v>
      </c>
      <c r="KV20" s="3">
        <f>KU20*Z20</f>
        <v>0</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0</v>
      </c>
      <c r="LE20">
        <f>IF(VLOOKUP($R20,Afgr,Data!$CK$3)&gt;0,IF(AND($S20=2,$BA20&gt;0),Data!$K$271,0),0)</f>
        <v>0</v>
      </c>
      <c r="LF20">
        <f>IF(VLOOKUP($R20,Afgr,Data!$CK$3)&gt;0,(AM20/VLOOKUP($R20,Afgr,Data!$CK$3))*VLOOKUP($R20,Afgr,Data!$CO$3)*VLOOKUP($R20,Afgr,Data!$CN$3),0)</f>
        <v>0</v>
      </c>
      <c r="LG20">
        <f>(LD20+LE20+LF20)*MaskJust</f>
        <v>0</v>
      </c>
      <c r="LH20" s="3">
        <f>IF(Nbal!IV20&lt;&gt;"",Nbal!IV20,LG20)</f>
        <v>0</v>
      </c>
      <c r="LI20" s="3">
        <f>LH20*Z20</f>
        <v>0</v>
      </c>
      <c r="LJ20" s="3"/>
      <c r="LK20">
        <f>IF(AND($S20=1,VLOOKUP($R20,Afgr,Data!$CP$3)&gt;0),((1+$BC20/VLOOKUP($R20,Afgr,Data!$CP$3))/2)*VLOOKUP($R20,Afgr,Data!$CQ$3),0)</f>
        <v>0</v>
      </c>
      <c r="LL20">
        <f>IF(AND($S20=1,VLOOKUP($R20,Afgr,Data!$CP$3)&gt;0),($BC20/VLOOKUP($R20,Afgr,Data!$CP$3))*VLOOKUP($R20,Afgr,Data!$CR$3),0)</f>
        <v>0</v>
      </c>
      <c r="LM20">
        <f>(LK20+LL20)*MaskJust</f>
        <v>0</v>
      </c>
      <c r="LN20" s="3">
        <f>IF(Nbal!JB20&lt;&gt;"",Nbal!JB20,LM20)</f>
        <v>0</v>
      </c>
      <c r="LO20" s="3">
        <f>LN20*Z20</f>
        <v>0</v>
      </c>
      <c r="LQ20">
        <f>$AM20*VLOOKUP($R20,Afgr,Data!$CS$3)*IF($V20=1,VLOOKUP($R20,Afgr,Data!$CT$3),IF($V20=2,VLOOKUP($R20,Afgr,Data!$CU$3),0))</f>
        <v>0</v>
      </c>
      <c r="LR20" s="3">
        <f>IF(Nbal!JK20&lt;&gt;"",Nbal!JK20,LQ20)</f>
        <v>0</v>
      </c>
      <c r="LS20" s="3">
        <f>LR20*Z20</f>
        <v>0</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3600</v>
      </c>
      <c r="OE20">
        <f>JW20+MZ20</f>
        <v>692.69999999999993</v>
      </c>
      <c r="OF20">
        <f>OD20-OE20</f>
        <v>2907.3</v>
      </c>
      <c r="OG20">
        <f>OF20*Z20</f>
        <v>4070.22</v>
      </c>
      <c r="OJ20">
        <f>VLOOKUP($O20,Afgr,Data!$BP$3)+VLOOKUP($P20,Efgr,Data!$AM$53)</f>
        <v>0</v>
      </c>
      <c r="OK20" s="3">
        <f>OJ20*Z20</f>
        <v>0</v>
      </c>
      <c r="OL20">
        <f>VLOOKUP($R20,Afgr,Data!$BP$3)+VLOOKUP($T20,Efgr,Data!$AM$53)</f>
        <v>0</v>
      </c>
      <c r="OM20" s="3">
        <f>OL20*Z20</f>
        <v>0</v>
      </c>
      <c r="OO20">
        <f>VLOOKUP($P20,Efgr,Data!$AN$53)</f>
        <v>0</v>
      </c>
      <c r="OP20">
        <f>VLOOKUP($O20,Afgr,Data!$BQ$3)</f>
        <v>0</v>
      </c>
      <c r="OQ20">
        <f>VLOOKUP($R20,Afgr,Data!$BR$3)</f>
        <v>0</v>
      </c>
      <c r="OR20">
        <f>OO20*OP20*OQ20</f>
        <v>0</v>
      </c>
      <c r="OS20" s="3">
        <f>OR20*Z20</f>
        <v>0</v>
      </c>
      <c r="OT20" s="3">
        <f>IF(Q20,1,0)*OS20</f>
        <v>0</v>
      </c>
      <c r="OV20">
        <f>VLOOKUP($T20,Efgr,Data!$AN$53)</f>
        <v>0</v>
      </c>
      <c r="OW20">
        <f>VLOOKUP($R20,Afgr,Data!$BQ$3)</f>
        <v>0</v>
      </c>
      <c r="OX20">
        <f>VLOOKUP($X20,Afgr,Data!$BR$3)</f>
        <v>0</v>
      </c>
      <c r="OY20">
        <f>OV20*OW20*OX20</f>
        <v>0</v>
      </c>
      <c r="OZ20" s="3">
        <f>OY20*Z20</f>
        <v>0</v>
      </c>
      <c r="PB20">
        <f>VLOOKUP($T20,Efgr,Data!$AO$53)</f>
        <v>0</v>
      </c>
      <c r="PC20">
        <f>VLOOKUP($O20,Afgr,Data!$BQ$3)</f>
        <v>0</v>
      </c>
      <c r="PD20">
        <f>VLOOKUP($R20,Afgr,Data!$BS$3)</f>
        <v>0</v>
      </c>
      <c r="PE20" s="3">
        <f>PB20*PC20*PD20*$Z20</f>
        <v>0</v>
      </c>
      <c r="PG20">
        <f>VLOOKUP($T20,Efgr,Data!$AO$53)</f>
        <v>0</v>
      </c>
      <c r="PH20">
        <f>VLOOKUP($R20,Afgr,Data!$BQ$3)</f>
        <v>0</v>
      </c>
      <c r="PI20">
        <f>VLOOKUP($X20,Afgr,Data!$BS$3)</f>
        <v>0</v>
      </c>
      <c r="PJ20" s="3">
        <f>PG20*PH20*PI20*$Z20</f>
        <v>0</v>
      </c>
      <c r="PK20" s="3"/>
      <c r="PL20" s="3">
        <f>VLOOKUP($O20,Afgr,Data!$BU$3)</f>
        <v>0</v>
      </c>
      <c r="PM20" s="3">
        <f>PL20*Z20</f>
        <v>0</v>
      </c>
      <c r="PN20" s="3">
        <f>VLOOKUP($R20,Afgr,Data!$BU$3)</f>
        <v>0</v>
      </c>
      <c r="PO20" s="3">
        <f>PN20*Z20</f>
        <v>0</v>
      </c>
      <c r="PQ20">
        <f>VLOOKUP(R20,Afgr,Data!$BX$3)+VLOOKUP(T20,Efgr,Data!$AQ$53)</f>
        <v>1</v>
      </c>
      <c r="PR20">
        <f>IF(PQ20&gt;0,Z20,0)</f>
        <v>1.4</v>
      </c>
      <c r="PT20">
        <f>VLOOKUP($O20,Afgr,Data!$BT$3)</f>
        <v>1</v>
      </c>
      <c r="PU20" s="3">
        <f>PT20*Z20</f>
        <v>1.4</v>
      </c>
      <c r="PV20">
        <f>VLOOKUP($R20,Afgr,Data!$BT$3)</f>
        <v>1</v>
      </c>
      <c r="PW20" s="3">
        <f>PV20*Z20</f>
        <v>1.4</v>
      </c>
      <c r="PY20">
        <f>VLOOKUP($R20,Afgr,Data!$BV$3)</f>
        <v>0</v>
      </c>
      <c r="PZ20">
        <f>PY20*Z20</f>
        <v>0</v>
      </c>
      <c r="QB20">
        <f>VLOOKUP($R20,Afgr,Data!$BW$3)</f>
        <v>0</v>
      </c>
      <c r="QC20">
        <f>QB20*Z20</f>
        <v>0</v>
      </c>
      <c r="QE20">
        <f>AM20*IF(VLOOKUP($R20,Afgr,Data!$BJ$3)&gt;0,1,0)</f>
        <v>0</v>
      </c>
      <c r="QF20">
        <f>QE20*Z20</f>
        <v>0</v>
      </c>
      <c r="QH20">
        <f>AM20*VLOOKUP(R20,Afgr,Data!$BK$3)</f>
        <v>0</v>
      </c>
      <c r="QI20">
        <f>Z20*QH20</f>
        <v>0</v>
      </c>
      <c r="QJ20">
        <f>$AM20*VLOOKUP($R20,Afgr,Data!$BL$3)+$BR20*VLOOKUP($T20,Efgr,Data!$AP$53)</f>
        <v>3000</v>
      </c>
      <c r="QK20">
        <f>QJ20*Z20</f>
        <v>4200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0</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2.08</v>
      </c>
      <c r="RJ20">
        <f>((CJ20+CK20+CL20+Regn2!CO20*0.7)-(RR20+RT20))*VLOOKUP(B20,Jordtype,Data!$AE$112+DenitNr-1)</f>
        <v>0</v>
      </c>
      <c r="RK20">
        <f>0*VLOOKUP(B20,Jordtype,Data!$AE$112+DenitNr-1)</f>
        <v>0</v>
      </c>
      <c r="RL20">
        <f>Regn2!FD20*VLOOKUP(B20,Jordtype,Data!$AH$112+DenitNr-1)</f>
        <v>0</v>
      </c>
      <c r="RM20" s="3">
        <f>RH20+RI20+RJ20+RK20+RL20</f>
        <v>9.33</v>
      </c>
      <c r="RO20">
        <v>2</v>
      </c>
      <c r="RP20">
        <f>(FF20)*RO20*0.01</f>
        <v>1.04</v>
      </c>
      <c r="RQ20">
        <v>7</v>
      </c>
      <c r="RR20">
        <f>CE20*RQ20*0.01</f>
        <v>0</v>
      </c>
      <c r="RS20">
        <v>7</v>
      </c>
      <c r="RT20">
        <f>(Regn2!CF20+Regn2!CG20)*RS20*0.01</f>
        <v>0</v>
      </c>
      <c r="RW20">
        <f>VLOOKUP(R20,Afgr,Data!$EE$3)</f>
        <v>0</v>
      </c>
      <c r="RX20" s="3">
        <f>RP20+RR20+RT20+RV20+RW20</f>
        <v>1.04</v>
      </c>
    </row>
    <row r="21" spans="1:492" x14ac:dyDescent="0.25">
      <c r="GT21" s="12"/>
    </row>
    <row r="22" spans="1:492" x14ac:dyDescent="0.25">
      <c r="A22" s="214" t="str">
        <f>Nbal!B22</f>
        <v>3-0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23</v>
      </c>
      <c r="P22">
        <v>1</v>
      </c>
      <c r="Q22" t="b">
        <v>0</v>
      </c>
      <c r="R22">
        <v>23</v>
      </c>
      <c r="S22">
        <v>1</v>
      </c>
      <c r="T22">
        <v>1</v>
      </c>
      <c r="U22">
        <v>1</v>
      </c>
      <c r="V22">
        <v>1</v>
      </c>
      <c r="X22">
        <v>40</v>
      </c>
      <c r="Z22">
        <f>Nbal!AG22</f>
        <v>13.62</v>
      </c>
      <c r="AA22">
        <v>1</v>
      </c>
      <c r="AB22">
        <f>VLOOKUP($R22,Afgr,G22)</f>
        <v>139</v>
      </c>
      <c r="AC22">
        <f>VLOOKUP($O22,Afgr,Data!$AI$3)*VLOOKUP(R22,Afgr,Data!$AJ$3)</f>
        <v>0</v>
      </c>
      <c r="AD22">
        <f>IF($Q22,0,VLOOKUP($P22,Efgr,(Data!$W$53+$V$6-1)))</f>
        <v>0</v>
      </c>
      <c r="AE22">
        <f>AB22-AC22-AD22</f>
        <v>139</v>
      </c>
      <c r="AF22">
        <f>AE22*Z22</f>
        <v>1893.1799999999998</v>
      </c>
      <c r="AH22">
        <f>VLOOKUP(R22,Afgr,D22)</f>
        <v>10300</v>
      </c>
      <c r="AI22">
        <f>VLOOKUP(O22,Afgr,Data!$AL$3)*VLOOKUP(R22,Afgr,E22)</f>
        <v>0</v>
      </c>
      <c r="AJ22">
        <f>VLOOKUP(P22,Efgr,(Data!$Y$53+I22))</f>
        <v>0</v>
      </c>
      <c r="AK22">
        <f>AH22+AI22+AJ22</f>
        <v>10300</v>
      </c>
      <c r="AL22">
        <f>AH22+AI22+AJ22</f>
        <v>10300</v>
      </c>
      <c r="AM22" s="3">
        <f>IF(Nbal!CK22&lt;&gt;"",Nbal!CK22,AL22)</f>
        <v>10300</v>
      </c>
      <c r="AN22">
        <f>AM22*Z22</f>
        <v>140286</v>
      </c>
      <c r="AO22" t="str">
        <f>VLOOKUP(R22,Afgr,3)</f>
        <v>FE</v>
      </c>
      <c r="AP22">
        <f>IF(AO22="FE",VLOOKUP($R22,Afgr,Data!$AV$3),0)</f>
        <v>1.1399999999999999</v>
      </c>
      <c r="AR22">
        <f>VLOOKUP(R22,Afgr,4)</f>
        <v>1.2</v>
      </c>
      <c r="AS22" s="3">
        <f>IF(Nbal!CW22&lt;&gt;"",Nbal!CW22,AR22)</f>
        <v>1.2</v>
      </c>
      <c r="AT22" s="3">
        <f>AM22*AS22</f>
        <v>12360</v>
      </c>
      <c r="AU22" s="3">
        <f>AN22*AS22</f>
        <v>168343.19999999998</v>
      </c>
      <c r="AW22">
        <f>VLOOKUP(R22,Afgr,Data!$AN$3)</f>
        <v>0</v>
      </c>
      <c r="AX22" s="3">
        <f>IF(Nbal!DC22&lt;&gt;"",Nbal!DC22,AW22)</f>
        <v>0</v>
      </c>
      <c r="AY22" s="3">
        <f>AX22*Z22</f>
        <v>0</v>
      </c>
      <c r="BA22">
        <f>VLOOKUP(R22,Afgr,H22)</f>
        <v>0</v>
      </c>
      <c r="BB22">
        <f>IF(ISERROR(BA22*AM22/AK22),0,(BA22*AM22/AK22))</f>
        <v>0</v>
      </c>
      <c r="BC22" s="3">
        <f>IF(Nbal!DI22&lt;&gt;"",Nbal!DI22,BB22)</f>
        <v>0</v>
      </c>
      <c r="BD22">
        <f>BC22*Z22</f>
        <v>0</v>
      </c>
      <c r="BG22">
        <f>IF($S22=1,BC22,0)</f>
        <v>0</v>
      </c>
      <c r="BH22">
        <f>IF($S22=1,BD22,0)</f>
        <v>0</v>
      </c>
      <c r="BI22">
        <f>VLOOKUP(R22,Afgr,Data!$AM$3)</f>
        <v>0</v>
      </c>
      <c r="BJ22">
        <f>IF(Nbal!DR22&lt;&gt;"",Nbal!DR22,BI22)</f>
        <v>0</v>
      </c>
      <c r="BK22">
        <f>BG22*BJ22</f>
        <v>0</v>
      </c>
      <c r="BL22">
        <f>BH22*BJ22</f>
        <v>0</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20</v>
      </c>
      <c r="CB22" s="2">
        <f>Nbal!DZ22</f>
        <v>0</v>
      </c>
      <c r="CC22" s="211">
        <f>Nbal!AT22+Nbal!DZ22</f>
        <v>20</v>
      </c>
      <c r="CD22" s="211">
        <f>Nbal!AX22</f>
        <v>0</v>
      </c>
      <c r="CE22">
        <f>Nbal!BH22</f>
        <v>142</v>
      </c>
      <c r="CF22" s="211">
        <f>Nbal!BM22</f>
        <v>129</v>
      </c>
      <c r="CG22" s="2">
        <f>Nbal!EI22</f>
        <v>0</v>
      </c>
      <c r="CH22" s="211">
        <f>Nbal!BM22+Nbal!EI22</f>
        <v>129</v>
      </c>
      <c r="CI22" s="211">
        <f>Nbal!BW22</f>
        <v>0</v>
      </c>
      <c r="CJ22" s="211">
        <f>Nbal!BH22*Nbal!BJ22*0.01</f>
        <v>77.517800000000008</v>
      </c>
      <c r="CK22" s="211">
        <f>(Nbal!BM22*Nbal!BP22*0.01)</f>
        <v>94.814999999999998</v>
      </c>
      <c r="CL22" s="211">
        <f>(Nbal!EI22*Nbal!EL22*0.01)</f>
        <v>0</v>
      </c>
      <c r="CM22" s="211">
        <f>(Nbal!BM22*Nbal!BP22*0.01)+(Nbal!EI22*Nbal!EL22*0.01)</f>
        <v>94.814999999999998</v>
      </c>
      <c r="CN22" s="211">
        <f>Nbal!BW22*Nbal!BY22*0.01</f>
        <v>0</v>
      </c>
      <c r="CO22">
        <f>Nbal!BT22+Nbal!ER22</f>
        <v>0</v>
      </c>
      <c r="CQ22">
        <f>Nbal!BA22</f>
        <v>10</v>
      </c>
      <c r="CR22">
        <f>Nbal!EC22</f>
        <v>0</v>
      </c>
      <c r="CS22">
        <f>(CQ22+CR22)*Z22</f>
        <v>136.19999999999999</v>
      </c>
      <c r="CT22">
        <f>Nbal!CB22</f>
        <v>45</v>
      </c>
      <c r="CU22">
        <f>Nbal!EV22</f>
        <v>0</v>
      </c>
      <c r="CV22">
        <f>(CT22+CU22)*Z22</f>
        <v>612.9</v>
      </c>
      <c r="CW22">
        <f>Nbal!BA22+Nbal!CB22+Nbal!EC22+Nbal!EV22</f>
        <v>55</v>
      </c>
      <c r="CY22">
        <f>Nbal!BD22</f>
        <v>0</v>
      </c>
      <c r="CZ22">
        <f>Nbal!EF22</f>
        <v>0</v>
      </c>
      <c r="DA22">
        <f>(CY22+CZ22)*Z22</f>
        <v>0</v>
      </c>
      <c r="DB22">
        <f>Nbal!CE22</f>
        <v>200</v>
      </c>
      <c r="DC22">
        <f>Nbal!EY22</f>
        <v>0</v>
      </c>
      <c r="DD22">
        <f>(DB22+DC22)*Z22</f>
        <v>2724</v>
      </c>
      <c r="DE22">
        <f>Nbal!BD22+Nbal!CE22+Nbal!EF22+Nbal!EY22</f>
        <v>200</v>
      </c>
      <c r="DG22">
        <f>VLOOKUP($R22,Afgr,Data!$AW$3)</f>
        <v>7.6</v>
      </c>
      <c r="DH22">
        <f>IF($AO22="FE",$AM22*$AP22*$DG22*0.01,$AM22*100*$DM22*0.01*$DG22*0.01)</f>
        <v>892.39199999999983</v>
      </c>
      <c r="DI22">
        <f>IF(VLOOKUP(R22,Afgr,Data!$BO$3)=1,DH22,0)*Z22</f>
        <v>0</v>
      </c>
      <c r="DJ22" s="12">
        <f>(BZ22+CC22+CJ22-AE22)*VLOOKUP($R22,Afgr,Data!$AX$3)</f>
        <v>-0.82964399999999983</v>
      </c>
      <c r="DK22">
        <f>DG22+DJ22</f>
        <v>6.7703559999999996</v>
      </c>
      <c r="DL22">
        <f>IF(Nbal!CQ22&lt;&gt;"",Nbal!CQ22,DK22)</f>
        <v>6.7703559999999996</v>
      </c>
      <c r="DM22">
        <f>VLOOKUP(R22,Afgr,Data!$AT$3)</f>
        <v>0</v>
      </c>
      <c r="DN22">
        <f>IF($AO22="FE",$AM22*$AP22*$DL22*0.01,$AM22*100*$DM22*0.01*DL22*0.01)</f>
        <v>794.97520151999981</v>
      </c>
      <c r="DO22">
        <f>IF(VLOOKUP(R22,Afgr,Data!$BO$3)=1,DN22,0)*Z22</f>
        <v>0</v>
      </c>
      <c r="DP22">
        <f>IF(ISERROR(DN22/VLOOKUP(R22,Afgr,Data!$AY$3)),0,DN22/VLOOKUP(R22,Afgr,Data!$AY$3))</f>
        <v>127.19603224319997</v>
      </c>
      <c r="DQ22">
        <f>DP22*Z22</f>
        <v>1732.4099591523834</v>
      </c>
      <c r="DS22">
        <f>IF($AO22="FE",$AM22*$AP22*VLOOKUP($R22,Afgr,Data!$BC$3)*0.001,$AM22*100*$DM22*0.01*VLOOKUP($R22,Afgr,Data!$BC$3)*0.001)</f>
        <v>30.529199999999999</v>
      </c>
      <c r="DT22">
        <f>DS22*Z22</f>
        <v>415.80770399999994</v>
      </c>
      <c r="DV22">
        <f>IF($AO22="FE",$AM22*$AP22*VLOOKUP($R22,Afgr,Data!$BF$3)*0.001,$AM22*100*$DM22*0.01*VLOOKUP($R22,Afgr,Data!$BF$3)*0.001)</f>
        <v>140.90399999999997</v>
      </c>
      <c r="DW22">
        <f>DV22*Z22</f>
        <v>1919.1124799999996</v>
      </c>
      <c r="DY22">
        <f>IF(ISERROR(VLOOKUP(R22,Afgr,Data!$AZ$3)*DL22/DG22),0,VLOOKUP(R22,Afgr,Data!$AZ$3)*DL22/DG22)</f>
        <v>0</v>
      </c>
      <c r="DZ22">
        <f>VLOOKUP(R22,Afgr,Data!$AU$3)</f>
        <v>0</v>
      </c>
      <c r="EA22">
        <f>IF($S22=1,$BC22*$DZ22*0.01*DY22*0.01,0)</f>
        <v>0</v>
      </c>
      <c r="EB22">
        <f>EA22/6.25</f>
        <v>0</v>
      </c>
      <c r="EC22">
        <f>EB22*Z22</f>
        <v>0</v>
      </c>
      <c r="EE22">
        <f>IF($S22=1,$BC22*$DZ22*0.01*VLOOKUP($R22,Afgr,Data!$BD$3)*0.001,0)</f>
        <v>0</v>
      </c>
      <c r="EF22">
        <f>EE22*Z22</f>
        <v>0</v>
      </c>
      <c r="EH22">
        <f>IF($S22=1,$BC22*$DZ22*0.01*VLOOKUP($R22,Afgr,Data!$BG$3)*0.001,0)</f>
        <v>0</v>
      </c>
      <c r="EI22">
        <f>EH22*Z22</f>
        <v>0</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192.33280000000002</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20</v>
      </c>
      <c r="FG22" s="211">
        <f>FF22*Z22</f>
        <v>272.39999999999998</v>
      </c>
      <c r="FH22" s="211">
        <f>CE22+CH22+CO22</f>
        <v>271</v>
      </c>
      <c r="FI22" s="211">
        <f>FH22*Z22</f>
        <v>3691.02</v>
      </c>
      <c r="FJ22">
        <f>VLOOKUP($R22,Afgr,Data!$DK$3)*VLOOKUP($R22,Afgr,Data!$AT$3)*0.01*VLOOKUP($R22,Afgr,Data!$AW$3)*0.01/6.25</f>
        <v>0</v>
      </c>
      <c r="FK22">
        <f>FJ22*Z22</f>
        <v>0</v>
      </c>
      <c r="FL22" s="4">
        <f>IF(R22&gt;1,Deposition,0)</f>
        <v>15</v>
      </c>
      <c r="FM22" s="4">
        <f>FL22*Z22</f>
        <v>204.29999999999998</v>
      </c>
      <c r="FN22">
        <f>FC22</f>
        <v>0</v>
      </c>
      <c r="FO22">
        <f>FN22*Z22</f>
        <v>0</v>
      </c>
      <c r="FP22" s="211">
        <f>SUM(FF22,FH22,FJ22,FL22,FN22)</f>
        <v>306</v>
      </c>
      <c r="FQ22">
        <f>DP22+EB22+EL22</f>
        <v>127.19603224319997</v>
      </c>
      <c r="FR22" s="3">
        <f>FP22-FQ22</f>
        <v>178.80396775680003</v>
      </c>
      <c r="FS22" s="19">
        <f>FP22*Z22</f>
        <v>4167.7199999999993</v>
      </c>
      <c r="FT22" s="19">
        <f>FQ22*Z22</f>
        <v>1732.4099591523834</v>
      </c>
      <c r="FU22" s="3">
        <f>FR22*Z22</f>
        <v>2435.3100408476162</v>
      </c>
      <c r="FW22">
        <f>CW22</f>
        <v>55</v>
      </c>
      <c r="FX22">
        <f>FW22*Z22</f>
        <v>749.09999999999991</v>
      </c>
      <c r="FY22">
        <f>IX22+MB22</f>
        <v>30.529199999999999</v>
      </c>
      <c r="FZ22">
        <f>FY22*Z22</f>
        <v>415.80770399999994</v>
      </c>
      <c r="GA22">
        <f>FW22-FY22</f>
        <v>24.470800000000001</v>
      </c>
      <c r="GB22">
        <f>GA22*Z22</f>
        <v>333.29229599999996</v>
      </c>
      <c r="GD22">
        <f>DE22</f>
        <v>200</v>
      </c>
      <c r="GE22">
        <f>GD22*Z22</f>
        <v>2724</v>
      </c>
      <c r="GF22">
        <f>JE22+MH22</f>
        <v>140.90399999999997</v>
      </c>
      <c r="GG22">
        <f>GF22*Z22</f>
        <v>1919.1124799999996</v>
      </c>
      <c r="GH22">
        <f>GD22-GF22</f>
        <v>59.096000000000032</v>
      </c>
      <c r="GI22">
        <f>GH22*Z22</f>
        <v>804.88752000000034</v>
      </c>
      <c r="GK22">
        <f>AA22</f>
        <v>1</v>
      </c>
      <c r="GL22" s="211">
        <f>FF22+FH22+FN22</f>
        <v>291</v>
      </c>
      <c r="GM22" s="211">
        <f>IF(R22=1,"",IF(GK22=1,GL22,""))</f>
        <v>291</v>
      </c>
      <c r="GN22" s="211" t="str">
        <f>IF(R22=1,"",IF(GK22=2,GL22,""))</f>
        <v/>
      </c>
      <c r="GO22" s="211" t="str">
        <f>IF(R22=1,"",IF(GK22=3,GL22,""))</f>
        <v/>
      </c>
      <c r="GP22" s="211" t="str">
        <f>IF(R22=1,"",IF(GK22=4,GL22,""))</f>
        <v/>
      </c>
      <c r="GQ22" s="149">
        <f>IF(OR(R22=1,VLOOKUP(R22,Afgr,Data!$BV$3)=1,VLOOKUP(R22,Afgr,Data!$BW$3)=1),0,IF(GK22=1,Nniveau1,IF(GK22=2,Nniveau2,IF(GK22=3,Nniveau3,IF(GK22=4,Nniveau4,GL22)))))</f>
        <v>197.65542292344122</v>
      </c>
      <c r="GR22" s="222">
        <v>0.32550000000000001</v>
      </c>
      <c r="GS22" s="6">
        <v>0</v>
      </c>
      <c r="GT22" s="149">
        <f>CC22+CM22</f>
        <v>114.815</v>
      </c>
      <c r="GU22" s="6">
        <f>$FN22</f>
        <v>0</v>
      </c>
      <c r="GV22" s="222">
        <v>0.25280000000000002</v>
      </c>
      <c r="GW22">
        <f>CO22</f>
        <v>0</v>
      </c>
      <c r="GX22" s="222">
        <v>0.376</v>
      </c>
      <c r="GY22" s="149">
        <f>CD22+CN22</f>
        <v>0</v>
      </c>
      <c r="GZ22" s="222">
        <f>IF(B22&gt;3,0.3539,1.0749)</f>
        <v>0.35389999999999999</v>
      </c>
      <c r="HA22" s="11">
        <f>$FQ22</f>
        <v>127.19603224319997</v>
      </c>
      <c r="HB22" s="222">
        <v>0.19359999999999999</v>
      </c>
      <c r="HC22" s="222">
        <f>VLOOKUP($R22,Afgr,Data!$DM$3)</f>
        <v>6</v>
      </c>
      <c r="HD22" s="24">
        <f>IF($HC22&gt;1,0,(VLOOKUP($X22,Afgr,Data!$DP$3)+IF(VLOOKUP($X22,Afgr,Data!$DP$3)=0,VLOOKUP($T22,Efgr,Data!$BI$53,0))))+IF(AND($HC22=7,VLOOKUP($X22,Afgr,Data!$DQ$3)=-2),-2,0)+IF(AND($HC22=6,VLOOKUP($T22,Efgr,Data!$BI$53)=2),8,0)</f>
        <v>0</v>
      </c>
      <c r="HE22" s="6">
        <f>VLOOKUP(SUM(HC22:HD22),Nlesafgr,3)</f>
        <v>28.8</v>
      </c>
      <c r="HF22" s="7">
        <f>VLOOKUP($O22,Afgr,Data!$DN$3)</f>
        <v>3</v>
      </c>
      <c r="HG22" s="24">
        <f>IF(HF22&gt;1,0,VLOOKUP($R22,Afgr,Data!$DO$3)+IF(VLOOKUP($R22,Afgr,Data!$DO$3)=1,0,VLOOKUP($P22,Efgr,Data!$BJ$53)))</f>
        <v>0</v>
      </c>
      <c r="HH22" s="6">
        <f>VLOOKUP(SUM(HF22:HG22),Nlesforfrugt,3)</f>
        <v>14.2</v>
      </c>
      <c r="HI22" s="222">
        <f>GR22*GQ22+GV22*(GT22+GU22)+GX22*GW22+GZ22*GY22-HB22*HA22+HE22+HH22</f>
        <v>111.7369203192966</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111.7369203192966</v>
      </c>
      <c r="HQ22" s="222">
        <v>1.5020000000000001E-3</v>
      </c>
      <c r="HR22" s="24">
        <f>IF(R22=1,0,VLOOKUP(PostnrNbal,AfstromData,VLOOKUP($R22,Afgr,Data!$DL$3)+IF(Jordtype1&lt;7,Jordtype1,6),FALSE)-VLOOKUP(T22,Efgr,Data!$AA$53))</f>
        <v>311.98999999999899</v>
      </c>
      <c r="HS22" s="24">
        <f>IF(Nbal!GA22&lt;&gt;"",Nbal!GA22,Regn2!HR22)</f>
        <v>311.98999999999899</v>
      </c>
      <c r="HT22" s="222">
        <v>5.5400000000000002E-4</v>
      </c>
      <c r="HU22" s="24">
        <f>IF(R22=1,0,VLOOKUP(PostnrNbal,AfstromData,VLOOKUP($O22,Afgr,Data!$DL$3)+IF(B22&lt;7,B22,6),FALSE)-VLOOKUP(P22,Efgr,Data!$AA$53))</f>
        <v>311.98999999999899</v>
      </c>
      <c r="HV22" s="24">
        <f>IF(Nbal!FU22&lt;&gt;"",Nbal!FU22,Regn2!HU22)</f>
        <v>311.98999999999899</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79.039671663074913</v>
      </c>
      <c r="ID22">
        <f>IC22*Z22</f>
        <v>1076.5203280510802</v>
      </c>
      <c r="IE22">
        <f>IF(Nbal!GF22&lt;&gt;"",Nbal!GF22,RetentionNbal)</f>
        <v>65</v>
      </c>
      <c r="IF22">
        <f>IC22*(100-IE22)*0.01</f>
        <v>27.663885082076217</v>
      </c>
      <c r="IG22">
        <f>IF22*Z22</f>
        <v>376.78211481787804</v>
      </c>
      <c r="IH22" s="2">
        <f>HS22*10000</f>
        <v>3119899.9999999898</v>
      </c>
      <c r="II22" s="2">
        <f>IH22*Z22</f>
        <v>42493037.999999858</v>
      </c>
      <c r="IJ22">
        <f>IF(ISERROR(IC22*1000*1000/IH22),0,IC22*1000*1000/IH22)</f>
        <v>25.33404008560376</v>
      </c>
      <c r="IL22">
        <f>AT22+AX22+BK22+BU22</f>
        <v>12360</v>
      </c>
      <c r="IO22">
        <f>VLOOKUP(R22,Afgr,Data!$AP$3)*UdsaedJust</f>
        <v>1400</v>
      </c>
      <c r="IP22" s="3">
        <f>IF(Nbal!GN22&lt;&gt;"",Nbal!GN22,IO22)</f>
        <v>1400</v>
      </c>
      <c r="IQ22" s="3">
        <f>IP22*Z22</f>
        <v>19068</v>
      </c>
      <c r="IS22" s="3">
        <f>IF(HdgVaerdiNbal=1,(BZ22+CA22)*Npris,(BZ22+CA22+CJ22+CK22)*Npris)</f>
        <v>169</v>
      </c>
      <c r="IT22" s="3">
        <f>IS22*Z22</f>
        <v>2301.7799999999997</v>
      </c>
      <c r="IV22">
        <f>VLOOKUP($R22,Afgr,Data!$BA$3)</f>
        <v>7.5</v>
      </c>
      <c r="IW22">
        <f>VLOOKUP($R22,Afgr,Data!$BB$3)</f>
        <v>0</v>
      </c>
      <c r="IX22">
        <f>$DS22+$EE22</f>
        <v>30.529199999999999</v>
      </c>
      <c r="IY22">
        <f>CT22</f>
        <v>45</v>
      </c>
      <c r="IZ22">
        <f>CQ22</f>
        <v>10</v>
      </c>
      <c r="JA22" s="3">
        <f>IF(HdgVaerdiNbal=1,(IZ22)*Ppris,(IY22+IZ22)*Ppris)</f>
        <v>139</v>
      </c>
      <c r="JB22" s="3">
        <f>JA22*Z22</f>
        <v>1893.1799999999998</v>
      </c>
      <c r="JD22">
        <f>IF(AND(R22&gt;1,OR(Jordtype1=1,Jordtype1=3,Markvand1=2)),Kudvask,0)</f>
        <v>0</v>
      </c>
      <c r="JE22">
        <f>$DV22+$EH22</f>
        <v>140.90399999999997</v>
      </c>
      <c r="JF22">
        <f>DB22</f>
        <v>200</v>
      </c>
      <c r="JG22">
        <f>CY22</f>
        <v>0</v>
      </c>
      <c r="JH22" s="3">
        <f>IF(HdgVaerdiNbal=1,JG22*Kpris,(JF22+JG22)*Kpris)</f>
        <v>0</v>
      </c>
      <c r="JI22" s="3">
        <f>JH22*Z22</f>
        <v>0</v>
      </c>
      <c r="JK22">
        <f>IS22+JA22+JH22</f>
        <v>308</v>
      </c>
      <c r="JL22" s="3">
        <f>IF(Nbal!GT22&lt;&gt;"",Nbal!GT22,$JK22)</f>
        <v>308</v>
      </c>
      <c r="JM22" s="3">
        <f>JL22*Z22</f>
        <v>4194.96</v>
      </c>
      <c r="JO22">
        <f>VLOOKUP(R22,Afgr,Data!$AQ$3)*PlantevJust</f>
        <v>660</v>
      </c>
      <c r="JP22" s="3">
        <f>IF(Nbal!GZ22&lt;&gt;"",Nbal!GZ22,JO22)</f>
        <v>660</v>
      </c>
      <c r="JQ22" s="3">
        <f>JP22*Z22</f>
        <v>8989.1999999999989</v>
      </c>
      <c r="JS22">
        <f>VLOOKUP(R22,Afgr,Data!$AR$3)+AM22*VLOOKUP(R22,Afgr,Data!$BH$3)</f>
        <v>401.7</v>
      </c>
      <c r="JT22" s="3">
        <f>IF(Nbal!HF22&lt;&gt;"",Nbal!HF22,JS22)</f>
        <v>401.7</v>
      </c>
      <c r="JU22">
        <f>JT22*Z22</f>
        <v>5471.1539999999995</v>
      </c>
      <c r="JW22">
        <f>IP22+JL22+JP22+JT22</f>
        <v>2769.7</v>
      </c>
      <c r="JY22">
        <f>IF(VLOOKUP(R22,Afgr,Data!$BY$3)&gt;0,Data!$K$259*J22,0)</f>
        <v>600</v>
      </c>
      <c r="JZ22">
        <f>IF(VLOOKUP(R22,Afgr,Data!$BZ$3)&gt;0,Data!$K$260*J22,0)</f>
        <v>0</v>
      </c>
      <c r="KA22">
        <f>(JY22+JZ22)*MaskJust</f>
        <v>600</v>
      </c>
      <c r="KB22" s="3">
        <f>IF(Nbal!HL22&lt;&gt;"",Nbal!HL22,KA22)</f>
        <v>600</v>
      </c>
      <c r="KC22" s="3">
        <f>KB22*Z22</f>
        <v>8171.9999999999991</v>
      </c>
      <c r="KE22">
        <f>IF(VLOOKUP(R22,Afgr,Data!$CA$3)&gt;0,VLOOKUP(R22,Afgr,Data!$CA$3)*Data!$K$261*K22,0)</f>
        <v>150</v>
      </c>
      <c r="KF22">
        <f>IF(VLOOKUP(R22,Afgr,Data!$CC$3)&gt;0,Data!$K$262*K22,0)</f>
        <v>0</v>
      </c>
      <c r="KG22">
        <f>IF(VLOOKUP(R22,Afgr,Data!$CD$3)&gt;0,VLOOKUP(R22,Afgr,Data!$CD$3)*Data!$K$263*K22,0)</f>
        <v>0</v>
      </c>
      <c r="KH22">
        <f>IF(VLOOKUP(R22,Afgr,Data!$CE$3)&gt;0,Data!$K$264*K22,0)</f>
        <v>0</v>
      </c>
      <c r="KI22">
        <f>IF(VLOOKUP(R22,Afgr,Data!$CF$3)&gt;0,Data!$K$265*K22,0)</f>
        <v>500</v>
      </c>
      <c r="KJ22">
        <f>IF(VLOOKUP(R22,Afgr,Data!$CV$3)&gt;0,Data!$K$266,0)</f>
        <v>0</v>
      </c>
      <c r="KK22">
        <f>IF(VLOOKUP(R22,Afgr,Data!$CG$3)&gt;0,Data!$K$267*K22,0)</f>
        <v>150</v>
      </c>
      <c r="KL22">
        <f>(KE22+KF22+KG22+KH22+KI22+KJ22+KK22)*MaskJust</f>
        <v>800</v>
      </c>
      <c r="KM22" s="3">
        <f>IF(Nbal!HR22&lt;&gt;"",Nbal!HR22,KL22)</f>
        <v>800</v>
      </c>
      <c r="KN22" s="3">
        <f>KM22*Z22</f>
        <v>10896</v>
      </c>
      <c r="KP22">
        <f>IF(VLOOKUP(R22,Afgr,Data!$CJ$3)&gt;0,VLOOKUP(R22,Afgr,Data!$CJ$3)*Data!$K$268*K22,0)*MaskJust</f>
        <v>140</v>
      </c>
      <c r="KQ22" s="3">
        <f>IF(Nbal!HX22&lt;&gt;"",Nbal!HX22,KP22)</f>
        <v>140</v>
      </c>
      <c r="KR22" s="3">
        <f>KQ22*Z22</f>
        <v>1906.8</v>
      </c>
      <c r="KT22">
        <f>IF(VLOOKUP(R22,Afgr,Data!$CI$3)&gt;0,VLOOKUP(R22,Afgr,Data!$CI$3)*Data!$K$269,0)*MaskJust</f>
        <v>300</v>
      </c>
      <c r="KU22" s="3">
        <f>IF(Nbal!ID22&lt;&gt;"",Nbal!ID22,KT22)</f>
        <v>300</v>
      </c>
      <c r="KV22" s="3">
        <f>KU22*Z22</f>
        <v>4085.9999999999995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1715.5555555555554</v>
      </c>
      <c r="LE22">
        <f>IF(VLOOKUP($R22,Afgr,Data!$CK$3)&gt;0,IF(AND($S22=2,$BA22&gt;0),Data!$K$271,0),0)</f>
        <v>0</v>
      </c>
      <c r="LF22">
        <f>IF(VLOOKUP($R22,Afgr,Data!$CK$3)&gt;0,(AM22/VLOOKUP($R22,Afgr,Data!$CK$3))*VLOOKUP($R22,Afgr,Data!$CO$3)*VLOOKUP($R22,Afgr,Data!$CN$3),0)</f>
        <v>0</v>
      </c>
      <c r="LG22">
        <f>(LD22+LE22+LF22)*MaskJust</f>
        <v>1715.5555555555554</v>
      </c>
      <c r="LH22" s="3">
        <f>IF(Nbal!IV22&lt;&gt;"",Nbal!IV22,LG22)</f>
        <v>1715.5555555555554</v>
      </c>
      <c r="LI22" s="3">
        <f>LH22*Z22</f>
        <v>23365.866666666665</v>
      </c>
      <c r="LJ22" s="3"/>
      <c r="LK22">
        <f>IF(AND($S22=1,VLOOKUP($R22,Afgr,Data!$CP$3)&gt;0),((1+$BC22/VLOOKUP($R22,Afgr,Data!$CP$3))/2)*VLOOKUP($R22,Afgr,Data!$CQ$3),0)</f>
        <v>0</v>
      </c>
      <c r="LL22">
        <f>IF(AND($S22=1,VLOOKUP($R22,Afgr,Data!$CP$3)&gt;0),($BC22/VLOOKUP($R22,Afgr,Data!$CP$3))*VLOOKUP($R22,Afgr,Data!$CR$3),0)</f>
        <v>0</v>
      </c>
      <c r="LM22">
        <f>(LK22+LL22)*MaskJust</f>
        <v>0</v>
      </c>
      <c r="LN22" s="3">
        <f>IF(Nbal!JB22&lt;&gt;"",Nbal!JB22,LM22)</f>
        <v>0</v>
      </c>
      <c r="LO22" s="3">
        <f>LN22*Z22</f>
        <v>0</v>
      </c>
      <c r="LQ22">
        <f>$AM22*VLOOKUP($R22,Afgr,Data!$CS$3)*IF($V22=1,VLOOKUP($R22,Afgr,Data!$CT$3),IF($V22=2,VLOOKUP($R22,Afgr,Data!$CU$3),0))</f>
        <v>0</v>
      </c>
      <c r="LR22" s="3">
        <f>IF(Nbal!JK22&lt;&gt;"",Nbal!JK22,LQ22)</f>
        <v>0</v>
      </c>
      <c r="LS22" s="3">
        <f>LR22*Z22</f>
        <v>0</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12360</v>
      </c>
      <c r="OE22">
        <f>JW22+MZ22</f>
        <v>2769.7</v>
      </c>
      <c r="OF22">
        <f>OD22-OE22</f>
        <v>9590.2999999999993</v>
      </c>
      <c r="OG22">
        <f>OF22*Z22</f>
        <v>130619.88599999998</v>
      </c>
      <c r="OJ22">
        <f>VLOOKUP($O22,Afgr,Data!$BP$3)+VLOOKUP($P22,Efgr,Data!$AM$53)</f>
        <v>1</v>
      </c>
      <c r="OK22" s="3">
        <f>OJ22*Z22</f>
        <v>13.62</v>
      </c>
      <c r="OL22">
        <f>VLOOKUP($R22,Afgr,Data!$BP$3)+VLOOKUP($T22,Efgr,Data!$AM$53)</f>
        <v>1</v>
      </c>
      <c r="OM22" s="3">
        <f>OL22*Z22</f>
        <v>13.62</v>
      </c>
      <c r="OO22">
        <f>VLOOKUP($P22,Efgr,Data!$AN$53)</f>
        <v>0</v>
      </c>
      <c r="OP22">
        <f>VLOOKUP($O22,Afgr,Data!$BQ$3)</f>
        <v>1</v>
      </c>
      <c r="OQ22">
        <f>VLOOKUP($R22,Afgr,Data!$BR$3)</f>
        <v>1</v>
      </c>
      <c r="OR22">
        <f>OO22*OP22*OQ22</f>
        <v>0</v>
      </c>
      <c r="OS22" s="3">
        <f>OR22*Z22</f>
        <v>0</v>
      </c>
      <c r="OT22" s="3">
        <f>IF(Q22,1,0)*OS22</f>
        <v>0</v>
      </c>
      <c r="OV22">
        <f>VLOOKUP($T22,Efgr,Data!$AN$53)</f>
        <v>0</v>
      </c>
      <c r="OW22">
        <f>VLOOKUP($R22,Afgr,Data!$BQ$3)</f>
        <v>1</v>
      </c>
      <c r="OX22">
        <f>VLOOKUP($X22,Afgr,Data!$BR$3)</f>
        <v>1</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0</v>
      </c>
      <c r="PJ22" s="3">
        <f>PG22*PH22*PI22*$Z22</f>
        <v>0</v>
      </c>
      <c r="PK22" s="3"/>
      <c r="PL22" s="3">
        <f>VLOOKUP($O22,Afgr,Data!$BU$3)</f>
        <v>0</v>
      </c>
      <c r="PM22" s="3">
        <f>PL22*Z22</f>
        <v>0</v>
      </c>
      <c r="PN22" s="3">
        <f>VLOOKUP($R22,Afgr,Data!$BU$3)</f>
        <v>0</v>
      </c>
      <c r="PO22" s="3">
        <f>PN22*Z22</f>
        <v>0</v>
      </c>
      <c r="PQ22">
        <f>VLOOKUP(R22,Afgr,Data!$BX$3)+VLOOKUP(T22,Efgr,Data!$AQ$53)</f>
        <v>1</v>
      </c>
      <c r="PR22">
        <f>IF(PQ22&gt;0,Z22,0)</f>
        <v>13.62</v>
      </c>
      <c r="PT22">
        <f>VLOOKUP($O22,Afgr,Data!$BT$3)</f>
        <v>1</v>
      </c>
      <c r="PU22" s="3">
        <f>PT22*Z22</f>
        <v>13.62</v>
      </c>
      <c r="PV22">
        <f>VLOOKUP($R22,Afgr,Data!$BT$3)</f>
        <v>1</v>
      </c>
      <c r="PW22" s="3">
        <f>PV22*Z22</f>
        <v>13.62</v>
      </c>
      <c r="PY22">
        <f>VLOOKUP($R22,Afgr,Data!$BV$3)</f>
        <v>0</v>
      </c>
      <c r="PZ22">
        <f>PY22*Z22</f>
        <v>0</v>
      </c>
      <c r="QB22">
        <f>VLOOKUP($R22,Afgr,Data!$BW$3)</f>
        <v>0</v>
      </c>
      <c r="QC22">
        <f>QB22*Z22</f>
        <v>0</v>
      </c>
      <c r="QE22">
        <f>AM22*IF(VLOOKUP($R22,Afgr,Data!$BJ$3)&gt;0,1,0)</f>
        <v>0</v>
      </c>
      <c r="QF22">
        <f>QE22*Z22</f>
        <v>0</v>
      </c>
      <c r="QH22">
        <f>AM22*VLOOKUP(R22,Afgr,Data!$BK$3)</f>
        <v>0</v>
      </c>
      <c r="QI22">
        <f>Z22*QH22</f>
        <v>0</v>
      </c>
      <c r="QJ22">
        <f>$AM22*VLOOKUP($R22,Afgr,Data!$BL$3)+$BR22*VLOOKUP($T22,Efgr,Data!$AP$53)</f>
        <v>0</v>
      </c>
      <c r="QK22">
        <f>QJ22*Z22</f>
        <v>0</v>
      </c>
      <c r="QL22">
        <f>$AM22*VLOOKUP($R22,Afgr,Data!$BM$3)</f>
        <v>10300</v>
      </c>
      <c r="QM22">
        <f>QL22*Z22</f>
        <v>140286</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0.8</v>
      </c>
      <c r="RJ22">
        <f>((CJ22+CK22+CL22+Regn2!CO22*0.7)-(RR22+RT22))*VLOOKUP(B22,Jordtype,Data!$AE$112+DenitNr-1)</f>
        <v>21.087385000000005</v>
      </c>
      <c r="RK22">
        <f>0*VLOOKUP(B22,Jordtype,Data!$AE$112+DenitNr-1)</f>
        <v>0</v>
      </c>
      <c r="RL22">
        <f>Regn2!FD22*VLOOKUP(B22,Jordtype,Data!$AH$112+DenitNr-1)</f>
        <v>0</v>
      </c>
      <c r="RM22" s="3">
        <f>RH22+RI22+RJ22+RK22+RL22</f>
        <v>29.137385000000005</v>
      </c>
      <c r="RO22">
        <v>2</v>
      </c>
      <c r="RP22">
        <f>(FF22)*RO22*0.01</f>
        <v>0.4</v>
      </c>
      <c r="RQ22">
        <v>7</v>
      </c>
      <c r="RR22">
        <f>CE22*RQ22*0.01</f>
        <v>9.94</v>
      </c>
      <c r="RS22">
        <v>7</v>
      </c>
      <c r="RT22">
        <f>(Regn2!CF22+Regn2!CG22)*RS22*0.01</f>
        <v>9.0299999999999994</v>
      </c>
      <c r="RW22">
        <f>VLOOKUP(R22,Afgr,Data!$EE$3)</f>
        <v>5</v>
      </c>
      <c r="RX22" s="3">
        <f>RP22+RR22+RT22+RV22+RW22</f>
        <v>24.369999999999997</v>
      </c>
    </row>
    <row r="23" spans="1:492" x14ac:dyDescent="0.25">
      <c r="GT23" s="12"/>
    </row>
    <row r="24" spans="1:492" x14ac:dyDescent="0.25">
      <c r="A24" s="214" t="str">
        <f>Nbal!B24</f>
        <v>8-0</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40</v>
      </c>
      <c r="P24">
        <v>5</v>
      </c>
      <c r="Q24" t="b">
        <v>0</v>
      </c>
      <c r="R24">
        <v>40</v>
      </c>
      <c r="S24">
        <v>1</v>
      </c>
      <c r="T24">
        <v>5</v>
      </c>
      <c r="U24">
        <v>2</v>
      </c>
      <c r="V24">
        <v>1</v>
      </c>
      <c r="X24">
        <v>40</v>
      </c>
      <c r="Z24">
        <f>Nbal!AG24</f>
        <v>2.95</v>
      </c>
      <c r="AA24">
        <v>1</v>
      </c>
      <c r="AB24">
        <f>VLOOKUP($R24,Afgr,G24)</f>
        <v>110</v>
      </c>
      <c r="AC24">
        <f>VLOOKUP($O24,Afgr,Data!$AI$3)*VLOOKUP(R24,Afgr,Data!$AJ$3)</f>
        <v>0</v>
      </c>
      <c r="AD24">
        <f>IF($Q24,0,VLOOKUP($P24,Efgr,(Data!$W$53+$V$6-1)))</f>
        <v>17</v>
      </c>
      <c r="AE24">
        <f>AB24-AC24-AD24</f>
        <v>93</v>
      </c>
      <c r="AF24">
        <f>AE24*Z24</f>
        <v>274.35000000000002</v>
      </c>
      <c r="AH24">
        <f>VLOOKUP(R24,Afgr,D24)</f>
        <v>56</v>
      </c>
      <c r="AI24">
        <f>VLOOKUP(O24,Afgr,Data!$AL$3)*VLOOKUP(R24,Afgr,E24)</f>
        <v>0</v>
      </c>
      <c r="AJ24">
        <f>VLOOKUP(P24,Efgr,(Data!$Y$53+I24))</f>
        <v>0</v>
      </c>
      <c r="AK24">
        <f>AH24+AI24+AJ24</f>
        <v>56</v>
      </c>
      <c r="AL24">
        <f>AH24+AI24+AJ24</f>
        <v>56</v>
      </c>
      <c r="AM24" s="3">
        <f>IF(Nbal!CK24&lt;&gt;"",Nbal!CK24,AL24)</f>
        <v>56</v>
      </c>
      <c r="AN24">
        <f>AM24*Z24</f>
        <v>165.20000000000002</v>
      </c>
      <c r="AO24" t="str">
        <f>VLOOKUP(R24,Afgr,3)</f>
        <v>hkg</v>
      </c>
      <c r="AP24">
        <f>IF(AO24="FE",VLOOKUP($R24,Afgr,Data!$AV$3),0)</f>
        <v>0</v>
      </c>
      <c r="AR24">
        <f>VLOOKUP(R24,Afgr,4)</f>
        <v>145</v>
      </c>
      <c r="AS24" s="3">
        <f>IF(Nbal!CW24&lt;&gt;"",Nbal!CW24,AR24)</f>
        <v>145</v>
      </c>
      <c r="AT24" s="3">
        <f>AM24*AS24</f>
        <v>8120</v>
      </c>
      <c r="AU24" s="3">
        <f>AN24*AS24</f>
        <v>23954.000000000004</v>
      </c>
      <c r="AW24">
        <f>VLOOKUP(R24,Afgr,Data!$AN$3)</f>
        <v>0</v>
      </c>
      <c r="AX24" s="3">
        <f>IF(Nbal!DC24&lt;&gt;"",Nbal!DC24,AW24)</f>
        <v>0</v>
      </c>
      <c r="AY24" s="3">
        <f>AX24*Z24</f>
        <v>0</v>
      </c>
      <c r="BA24">
        <f>VLOOKUP(R24,Afgr,H24)</f>
        <v>3000</v>
      </c>
      <c r="BB24">
        <f>IF(ISERROR(BA24*AM24/AK24),0,(BA24*AM24/AK24))</f>
        <v>3000</v>
      </c>
      <c r="BC24" s="3">
        <f>IF(Nbal!DI24&lt;&gt;"",Nbal!DI24,BB24)</f>
        <v>3000</v>
      </c>
      <c r="BD24">
        <f>BC24*Z24</f>
        <v>8850</v>
      </c>
      <c r="BG24">
        <f>IF($S24=1,BC24,0)</f>
        <v>3000</v>
      </c>
      <c r="BH24">
        <f>IF($S24=1,BD24,0)</f>
        <v>8850</v>
      </c>
      <c r="BI24">
        <f>VLOOKUP(R24,Afgr,Data!$AM$3)</f>
        <v>0.5</v>
      </c>
      <c r="BJ24">
        <f>IF(Nbal!DR24&lt;&gt;"",Nbal!DR24,BI24)</f>
        <v>0.5</v>
      </c>
      <c r="BK24">
        <f>BG24*BJ24</f>
        <v>1500</v>
      </c>
      <c r="BL24">
        <f>BH24*BJ24</f>
        <v>4425</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27</v>
      </c>
      <c r="CB24" s="2">
        <f>Nbal!DZ24</f>
        <v>0</v>
      </c>
      <c r="CC24" s="211">
        <f>Nbal!AT24+Nbal!DZ24</f>
        <v>27</v>
      </c>
      <c r="CD24" s="211">
        <f>Nbal!AX24</f>
        <v>0</v>
      </c>
      <c r="CE24">
        <f>Nbal!BH24</f>
        <v>0</v>
      </c>
      <c r="CF24" s="211">
        <f>Nbal!BM24</f>
        <v>87</v>
      </c>
      <c r="CG24" s="2">
        <f>Nbal!EI24</f>
        <v>0</v>
      </c>
      <c r="CH24" s="211">
        <f>Nbal!BM24+Nbal!EI24</f>
        <v>87</v>
      </c>
      <c r="CI24" s="211">
        <f>Nbal!BW24</f>
        <v>0</v>
      </c>
      <c r="CJ24" s="211">
        <f>Nbal!BH24*Nbal!BJ24*0.01</f>
        <v>0</v>
      </c>
      <c r="CK24" s="211">
        <f>(Nbal!BM24*Nbal!BP24*0.01)</f>
        <v>63.945</v>
      </c>
      <c r="CL24" s="211">
        <f>(Nbal!EI24*Nbal!EL24*0.01)</f>
        <v>0</v>
      </c>
      <c r="CM24" s="211">
        <f>(Nbal!BM24*Nbal!BP24*0.01)+(Nbal!EI24*Nbal!EL24*0.01)</f>
        <v>63.945</v>
      </c>
      <c r="CN24" s="211">
        <f>Nbal!BW24*Nbal!BY24*0.01</f>
        <v>0</v>
      </c>
      <c r="CO24">
        <f>Nbal!BT24+Nbal!ER24</f>
        <v>0</v>
      </c>
      <c r="CQ24">
        <f>Nbal!BA24</f>
        <v>0</v>
      </c>
      <c r="CR24">
        <f>Nbal!EC24</f>
        <v>0</v>
      </c>
      <c r="CS24">
        <f>(CQ24+CR24)*Z24</f>
        <v>0</v>
      </c>
      <c r="CT24">
        <f>Nbal!CB24</f>
        <v>17</v>
      </c>
      <c r="CU24">
        <f>Nbal!EV24</f>
        <v>0</v>
      </c>
      <c r="CV24">
        <f>(CT24+CU24)*Z24</f>
        <v>50.150000000000006</v>
      </c>
      <c r="CW24">
        <f>Nbal!BA24+Nbal!CB24+Nbal!EC24+Nbal!EV24</f>
        <v>17</v>
      </c>
      <c r="CY24">
        <f>Nbal!BD24</f>
        <v>0</v>
      </c>
      <c r="CZ24">
        <f>Nbal!EF24</f>
        <v>0</v>
      </c>
      <c r="DA24">
        <f>(CY24+CZ24)*Z24</f>
        <v>0</v>
      </c>
      <c r="DB24">
        <f>Nbal!CE24</f>
        <v>47</v>
      </c>
      <c r="DC24">
        <f>Nbal!EY24</f>
        <v>0</v>
      </c>
      <c r="DD24">
        <f>(DB24+DC24)*Z24</f>
        <v>138.65</v>
      </c>
      <c r="DE24">
        <f>Nbal!BD24+Nbal!CE24+Nbal!EF24+Nbal!EY24</f>
        <v>47</v>
      </c>
      <c r="DG24">
        <f>VLOOKUP($R24,Afgr,Data!$AW$3)</f>
        <v>11.1875</v>
      </c>
      <c r="DH24">
        <f>IF($AO24="FE",$AM24*$AP24*$DG24*0.01,$AM24*100*$DM24*0.01*$DG24*0.01)</f>
        <v>532.52499999999998</v>
      </c>
      <c r="DI24">
        <f>IF(VLOOKUP(R24,Afgr,Data!$BO$3)=1,DH24,0)*Z24</f>
        <v>1570.94875</v>
      </c>
      <c r="DJ24" s="12">
        <f>(BZ24+CC24+CJ24-AE24)*VLOOKUP($R24,Afgr,Data!$AX$3)</f>
        <v>-1.32</v>
      </c>
      <c r="DK24">
        <f>DG24+DJ24</f>
        <v>9.8674999999999997</v>
      </c>
      <c r="DL24">
        <f>IF(Nbal!CQ24&lt;&gt;"",Nbal!CQ24,DK24)</f>
        <v>9.8674999999999997</v>
      </c>
      <c r="DM24">
        <f>VLOOKUP(R24,Afgr,Data!$AT$3)</f>
        <v>85</v>
      </c>
      <c r="DN24">
        <f>IF($AO24="FE",$AM24*$AP24*$DL24*0.01,$AM24*100*$DM24*0.01*DL24*0.01)</f>
        <v>469.69299999999998</v>
      </c>
      <c r="DO24">
        <f>IF(VLOOKUP(R24,Afgr,Data!$BO$3)=1,DN24,0)*Z24</f>
        <v>1385.5943500000001</v>
      </c>
      <c r="DP24">
        <f>IF(ISERROR(DN24/VLOOKUP(R24,Afgr,Data!$AY$3)),0,DN24/VLOOKUP(R24,Afgr,Data!$AY$3))</f>
        <v>75.150880000000001</v>
      </c>
      <c r="DQ24">
        <f>DP24*Z24</f>
        <v>221.69509600000001</v>
      </c>
      <c r="DS24">
        <f>IF($AO24="FE",$AM24*$AP24*VLOOKUP($R24,Afgr,Data!$BC$3)*0.001,$AM24*100*$DM24*0.01*VLOOKUP($R24,Afgr,Data!$BC$3)*0.001)</f>
        <v>18.088000000000001</v>
      </c>
      <c r="DT24">
        <f>DS24*Z24</f>
        <v>53.359600000000007</v>
      </c>
      <c r="DV24">
        <f>IF($AO24="FE",$AM24*$AP24*VLOOKUP($R24,Afgr,Data!$BF$3)*0.001,$AM24*100*$DM24*0.01*VLOOKUP($R24,Afgr,Data!$BF$3)*0.001)</f>
        <v>22.372</v>
      </c>
      <c r="DW24">
        <f>DV24*Z24</f>
        <v>65.997399999999999</v>
      </c>
      <c r="DY24">
        <f>IF(ISERROR(VLOOKUP(R24,Afgr,Data!$AZ$3)*DL24/DG24),0,VLOOKUP(R24,Afgr,Data!$AZ$3)*DL24/DG24)</f>
        <v>3.52804469273743</v>
      </c>
      <c r="DZ24">
        <f>VLOOKUP(R24,Afgr,Data!$AU$3)</f>
        <v>85</v>
      </c>
      <c r="EA24">
        <f>IF($S24=1,$BC24*$DZ24*0.01*DY24*0.01,0)</f>
        <v>89.965139664804468</v>
      </c>
      <c r="EB24">
        <f>EA24/6.25</f>
        <v>14.394422346368716</v>
      </c>
      <c r="EC24">
        <f>EB24*Z24</f>
        <v>42.463545921787713</v>
      </c>
      <c r="EE24">
        <f>IF($S24=1,$BC24*$DZ24*0.01*VLOOKUP($R24,Afgr,Data!$BD$3)*0.001,0)</f>
        <v>2.2949999999999999</v>
      </c>
      <c r="EF24">
        <f>EE24*Z24</f>
        <v>6.7702499999999999</v>
      </c>
      <c r="EH24">
        <f>IF($S24=1,$BC24*$DZ24*0.01*VLOOKUP($R24,Afgr,Data!$BG$3)*0.001,0)</f>
        <v>30.6</v>
      </c>
      <c r="EI24">
        <f>EH24*Z24</f>
        <v>90.27000000000001</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90.944999999999993</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27</v>
      </c>
      <c r="FG24" s="211">
        <f>FF24*Z24</f>
        <v>79.650000000000006</v>
      </c>
      <c r="FH24" s="211">
        <f>CE24+CH24+CO24</f>
        <v>87</v>
      </c>
      <c r="FI24" s="211">
        <f>FH24*Z24</f>
        <v>256.65000000000003</v>
      </c>
      <c r="FJ24">
        <f>VLOOKUP($R24,Afgr,Data!$DK$3)*VLOOKUP($R24,Afgr,Data!$AT$3)*0.01*VLOOKUP($R24,Afgr,Data!$AW$3)*0.01/6.25</f>
        <v>2.4344000000000001</v>
      </c>
      <c r="FK24">
        <f>FJ24*Z24</f>
        <v>7.1814800000000005</v>
      </c>
      <c r="FL24" s="4">
        <f>IF(R24&gt;1,Deposition,0)</f>
        <v>15</v>
      </c>
      <c r="FM24" s="4">
        <f>FL24*Z24</f>
        <v>44.25</v>
      </c>
      <c r="FN24">
        <f>FC24</f>
        <v>0</v>
      </c>
      <c r="FO24">
        <f>FN24*Z24</f>
        <v>0</v>
      </c>
      <c r="FP24" s="211">
        <f>SUM(FF24,FH24,FJ24,FL24,FN24)</f>
        <v>131.43439999999998</v>
      </c>
      <c r="FQ24">
        <f>DP24+EB24+EL24</f>
        <v>89.545302346368715</v>
      </c>
      <c r="FR24" s="3">
        <f>FP24-FQ24</f>
        <v>41.889097653631268</v>
      </c>
      <c r="FS24" s="19">
        <f>FP24*Z24</f>
        <v>387.73147999999998</v>
      </c>
      <c r="FT24" s="19">
        <f>FQ24*Z24</f>
        <v>264.15864192178771</v>
      </c>
      <c r="FU24" s="3">
        <f>FR24*Z24</f>
        <v>123.57283807821224</v>
      </c>
      <c r="FW24">
        <f>CW24</f>
        <v>17</v>
      </c>
      <c r="FX24">
        <f>FW24*Z24</f>
        <v>50.150000000000006</v>
      </c>
      <c r="FY24">
        <f>IX24+MB24</f>
        <v>20.383000000000003</v>
      </c>
      <c r="FZ24">
        <f>FY24*Z24</f>
        <v>60.129850000000012</v>
      </c>
      <c r="GA24">
        <f>FW24-FY24</f>
        <v>-3.3830000000000027</v>
      </c>
      <c r="GB24">
        <f>GA24*Z24</f>
        <v>-9.9798500000000079</v>
      </c>
      <c r="GD24">
        <f>DE24</f>
        <v>47</v>
      </c>
      <c r="GE24">
        <f>GD24*Z24</f>
        <v>138.65</v>
      </c>
      <c r="GF24">
        <f>JE24+MH24</f>
        <v>52.972000000000001</v>
      </c>
      <c r="GG24">
        <f>GF24*Z24</f>
        <v>156.26740000000001</v>
      </c>
      <c r="GH24">
        <f>GD24-GF24</f>
        <v>-5.9720000000000013</v>
      </c>
      <c r="GI24">
        <f>GH24*Z24</f>
        <v>-17.617400000000004</v>
      </c>
      <c r="GK24">
        <f>AA24</f>
        <v>1</v>
      </c>
      <c r="GL24" s="211">
        <f>FF24+FH24+FN24</f>
        <v>114</v>
      </c>
      <c r="GM24" s="211">
        <f>IF(R24=1,"",IF(GK24=1,GL24,""))</f>
        <v>114</v>
      </c>
      <c r="GN24" s="211" t="str">
        <f>IF(R24=1,"",IF(GK24=2,GL24,""))</f>
        <v/>
      </c>
      <c r="GO24" s="211" t="str">
        <f>IF(R24=1,"",IF(GK24=3,GL24,""))</f>
        <v/>
      </c>
      <c r="GP24" s="211" t="str">
        <f>IF(R24=1,"",IF(GK24=4,GL24,""))</f>
        <v/>
      </c>
      <c r="GQ24" s="149">
        <f>IF(OR(R24=1,VLOOKUP(R24,Afgr,Data!$BV$3)=1,VLOOKUP(R24,Afgr,Data!$BW$3)=1),0,IF(GK24=1,Nniveau1,IF(GK24=2,Nniveau2,IF(GK24=3,Nniveau3,IF(GK24=4,Nniveau4,GL24)))))</f>
        <v>197.65542292344122</v>
      </c>
      <c r="GR24" s="222">
        <v>0.32550000000000001</v>
      </c>
      <c r="GS24" s="6">
        <v>0</v>
      </c>
      <c r="GT24" s="149">
        <f>CC24+CM24</f>
        <v>90.944999999999993</v>
      </c>
      <c r="GU24" s="6">
        <f>$FN24</f>
        <v>0</v>
      </c>
      <c r="GV24" s="222">
        <v>0.25280000000000002</v>
      </c>
      <c r="GW24">
        <f>CO24</f>
        <v>0</v>
      </c>
      <c r="GX24" s="222">
        <v>0.376</v>
      </c>
      <c r="GY24" s="149">
        <f>CD24+CN24</f>
        <v>0</v>
      </c>
      <c r="GZ24" s="222">
        <f>IF(B24&gt;3,0.3539,1.0749)</f>
        <v>0.35389999999999999</v>
      </c>
      <c r="HA24" s="11">
        <f>$FQ24</f>
        <v>89.545302346368715</v>
      </c>
      <c r="HB24" s="222">
        <v>0.19359999999999999</v>
      </c>
      <c r="HC24" s="222">
        <f>VLOOKUP($R24,Afgr,Data!$DM$3)</f>
        <v>1</v>
      </c>
      <c r="HD24" s="24">
        <f>IF($HC24&gt;1,0,(VLOOKUP($X24,Afgr,Data!$DP$3)+IF(VLOOKUP($X24,Afgr,Data!$DP$3)=0,VLOOKUP($T24,Efgr,Data!$BI$53,0))))+IF(AND($HC24=7,VLOOKUP($X24,Afgr,Data!$DQ$3)=-2),-2,0)+IF(AND($HC24=6,VLOOKUP($T24,Efgr,Data!$BI$53)=2),8,0)</f>
        <v>2</v>
      </c>
      <c r="HE24" s="6">
        <f>VLOOKUP(SUM(HC24:HD24),Nlesafgr,3)</f>
        <v>-98.6</v>
      </c>
      <c r="HF24" s="7">
        <f>VLOOKUP($O24,Afgr,Data!$DN$3)</f>
        <v>1</v>
      </c>
      <c r="HG24" s="24">
        <f>IF(HF24&gt;1,0,VLOOKUP($R24,Afgr,Data!$DO$3)+IF(VLOOKUP($R24,Afgr,Data!$DO$3)=1,0,VLOOKUP($P24,Efgr,Data!$BJ$53)))</f>
        <v>1</v>
      </c>
      <c r="HH24" s="6">
        <f>VLOOKUP(SUM(HF24:HG24),Nlesforfrugt,3)</f>
        <v>14.2</v>
      </c>
      <c r="HI24" s="222">
        <f>GR24*GQ24+GV24*(GT24+GU24)+GX24*GW24+GZ24*GY24-HB24*HA24+HE24+HH24</f>
        <v>-14.408234372676876</v>
      </c>
      <c r="HJ24" s="222">
        <f>Nlesafskaering</f>
        <v>59.6</v>
      </c>
      <c r="HK24" s="222">
        <f>Teknologi1</f>
        <v>2455</v>
      </c>
      <c r="HL24" s="6">
        <v>2001</v>
      </c>
      <c r="HM24" s="222">
        <f>Teknologi2</f>
        <v>1962.2</v>
      </c>
      <c r="HN24" s="222">
        <f>Tandel</f>
        <v>0.54659999999999997</v>
      </c>
      <c r="HO24" s="222">
        <f>IF(OR(HI24&gt;0,HI24=0),HJ24+HK24/(HL24-HM24),HJ24+HK24/(HL24-HM24)+HN24*HI24)</f>
        <v>114.99765496818355</v>
      </c>
      <c r="HP24" s="222">
        <f>IF(HI24&gt;0,HI24,0.001)</f>
        <v>1E-3</v>
      </c>
      <c r="HQ24" s="222">
        <v>1.5020000000000001E-3</v>
      </c>
      <c r="HR24" s="24">
        <f>IF(R24=1,0,VLOOKUP(PostnrNbal,AfstromData,VLOOKUP($R24,Afgr,Data!$DL$3)+IF(Jordtype1&lt;7,Jordtype1,6),FALSE)-VLOOKUP(T24,Efgr,Data!$AA$53))</f>
        <v>284.76666666666603</v>
      </c>
      <c r="HS24" s="24">
        <f>IF(Nbal!GA24&lt;&gt;"",Nbal!GA24,Regn2!HR24)</f>
        <v>284.76666666666603</v>
      </c>
      <c r="HT24" s="222">
        <v>5.5400000000000002E-4</v>
      </c>
      <c r="HU24" s="24">
        <f>IF(R24=1,0,VLOOKUP(PostnrNbal,AfstromData,VLOOKUP($O24,Afgr,Data!$DL$3)+IF(B24&lt;7,B24,6),FALSE)-VLOOKUP(P24,Efgr,Data!$AA$53))</f>
        <v>284.76666666666603</v>
      </c>
      <c r="HV24" s="24">
        <f>IF(Nbal!FU24&lt;&gt;"",Nbal!FU24,Regn2!HU24)</f>
        <v>284.76666666666603</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20.942767723685982</v>
      </c>
      <c r="ID24">
        <f>IC24*Z24</f>
        <v>61.781164784873653</v>
      </c>
      <c r="IE24">
        <f>IF(Nbal!GF24&lt;&gt;"",Nbal!GF24,RetentionNbal)</f>
        <v>65</v>
      </c>
      <c r="IF24">
        <f>IC24*(100-IE24)*0.01</f>
        <v>7.3299687032900946</v>
      </c>
      <c r="IG24">
        <f>IF24*Z24</f>
        <v>21.623407674705781</v>
      </c>
      <c r="IH24" s="2">
        <f>HS24*10000</f>
        <v>2847666.6666666605</v>
      </c>
      <c r="II24" s="2">
        <f>IH24*Z24</f>
        <v>8400616.6666666493</v>
      </c>
      <c r="IJ24">
        <f>IF(ISERROR(IC24*1000*1000/IH24),0,IC24*1000*1000/IH24)</f>
        <v>7.3543606661662286</v>
      </c>
      <c r="IL24">
        <f>AT24+AX24+BK24+BU24</f>
        <v>9620</v>
      </c>
      <c r="IO24">
        <f>VLOOKUP(R24,Afgr,Data!$AP$3)*UdsaedJust</f>
        <v>488</v>
      </c>
      <c r="IP24" s="3">
        <f>IF(Nbal!GN24&lt;&gt;"",Nbal!GN24,IO24)</f>
        <v>488</v>
      </c>
      <c r="IQ24" s="3">
        <f>IP24*Z24</f>
        <v>1439.6000000000001</v>
      </c>
      <c r="IS24" s="3">
        <f>IF(HdgVaerdiNbal=1,(BZ24+CA24)*Npris,(BZ24+CA24+CJ24+CK24)*Npris)</f>
        <v>228.14999999999998</v>
      </c>
      <c r="IT24" s="3">
        <f>IS24*Z24</f>
        <v>673.04250000000002</v>
      </c>
      <c r="IV24">
        <f>VLOOKUP($R24,Afgr,Data!$BA$3)</f>
        <v>0</v>
      </c>
      <c r="IW24">
        <f>VLOOKUP($R24,Afgr,Data!$BB$3)</f>
        <v>2.5</v>
      </c>
      <c r="IX24">
        <f>$DS24+$EE24</f>
        <v>20.383000000000003</v>
      </c>
      <c r="IY24">
        <f>CT24</f>
        <v>17</v>
      </c>
      <c r="IZ24">
        <f>CQ24</f>
        <v>0</v>
      </c>
      <c r="JA24" s="3">
        <f>IF(HdgVaerdiNbal=1,(IZ24)*Ppris,(IY24+IZ24)*Ppris)</f>
        <v>0</v>
      </c>
      <c r="JB24" s="3">
        <f>JA24*Z24</f>
        <v>0</v>
      </c>
      <c r="JD24">
        <f>IF(AND(R24&gt;1,OR(Jordtype1=1,Jordtype1=3,Markvand1=2)),Kudvask,0)</f>
        <v>0</v>
      </c>
      <c r="JE24">
        <f>$DV24+$EH24</f>
        <v>52.972000000000001</v>
      </c>
      <c r="JF24">
        <f>DB24</f>
        <v>47</v>
      </c>
      <c r="JG24">
        <f>CY24</f>
        <v>0</v>
      </c>
      <c r="JH24" s="3">
        <f>IF(HdgVaerdiNbal=1,JG24*Kpris,(JF24+JG24)*Kpris)</f>
        <v>0</v>
      </c>
      <c r="JI24" s="3">
        <f>JH24*Z24</f>
        <v>0</v>
      </c>
      <c r="JK24">
        <f>IS24+JA24+JH24</f>
        <v>228.14999999999998</v>
      </c>
      <c r="JL24" s="3">
        <f>IF(Nbal!GT24&lt;&gt;"",Nbal!GT24,$JK24)</f>
        <v>228.14999999999998</v>
      </c>
      <c r="JM24" s="3">
        <f>JL24*Z24</f>
        <v>673.04250000000002</v>
      </c>
      <c r="JO24">
        <f>VLOOKUP(R24,Afgr,Data!$AQ$3)*PlantevJust</f>
        <v>283</v>
      </c>
      <c r="JP24" s="3">
        <f>IF(Nbal!GZ24&lt;&gt;"",Nbal!GZ24,JO24)</f>
        <v>283</v>
      </c>
      <c r="JQ24" s="3">
        <f>JP24*Z24</f>
        <v>834.85</v>
      </c>
      <c r="JS24">
        <f>VLOOKUP(R24,Afgr,Data!$AR$3)+AM24*VLOOKUP(R24,Afgr,Data!$BH$3)</f>
        <v>0</v>
      </c>
      <c r="JT24" s="3">
        <f>IF(Nbal!HF24&lt;&gt;"",Nbal!HF24,JS24)</f>
        <v>0</v>
      </c>
      <c r="JU24">
        <f>JT24*Z24</f>
        <v>0</v>
      </c>
      <c r="JW24">
        <f>IP24+JL24+JP24+JT24</f>
        <v>999.15</v>
      </c>
      <c r="JY24">
        <f>IF(VLOOKUP(R24,Afgr,Data!$BY$3)&gt;0,Data!$K$259*J24,0)</f>
        <v>600</v>
      </c>
      <c r="JZ24">
        <f>IF(VLOOKUP(R24,Afgr,Data!$BZ$3)&gt;0,Data!$K$260*J24,0)</f>
        <v>0</v>
      </c>
      <c r="KA24">
        <f>(JY24+JZ24)*MaskJust</f>
        <v>600</v>
      </c>
      <c r="KB24" s="3">
        <f>IF(Nbal!HL24&lt;&gt;"",Nbal!HL24,KA24)</f>
        <v>600</v>
      </c>
      <c r="KC24" s="3">
        <f>KB24*Z24</f>
        <v>1770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1032.5</v>
      </c>
      <c r="KP24">
        <f>IF(VLOOKUP(R24,Afgr,Data!$CJ$3)&gt;0,VLOOKUP(R24,Afgr,Data!$CJ$3)*Data!$K$268*K24,0)*MaskJust</f>
        <v>140</v>
      </c>
      <c r="KQ24" s="3">
        <f>IF(Nbal!HX24&lt;&gt;"",Nbal!HX24,KP24)</f>
        <v>140</v>
      </c>
      <c r="KR24" s="3">
        <f>KQ24*Z24</f>
        <v>413</v>
      </c>
      <c r="KT24">
        <f>IF(VLOOKUP(R24,Afgr,Data!$CI$3)&gt;0,VLOOKUP(R24,Afgr,Data!$CI$3)*Data!$K$269,0)*MaskJust</f>
        <v>300</v>
      </c>
      <c r="KU24" s="3">
        <f>IF(Nbal!ID24&lt;&gt;"",Nbal!ID24,KT24)</f>
        <v>300</v>
      </c>
      <c r="KV24" s="3">
        <f>KU24*Z24</f>
        <v>885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746.47058823529403</v>
      </c>
      <c r="LE24">
        <f>IF(VLOOKUP($R24,Afgr,Data!$CK$3)&gt;0,IF(AND($S24=2,$BA24&gt;0),Data!$K$271,0),0)</f>
        <v>0</v>
      </c>
      <c r="LF24">
        <f>IF(VLOOKUP($R24,Afgr,Data!$CK$3)&gt;0,(AM24/VLOOKUP($R24,Afgr,Data!$CK$3))*VLOOKUP($R24,Afgr,Data!$CO$3)*VLOOKUP($R24,Afgr,Data!$CN$3),0)</f>
        <v>214.11764705882354</v>
      </c>
      <c r="LG24">
        <f>(LD24+LE24+LF24)*MaskJust</f>
        <v>960.58823529411757</v>
      </c>
      <c r="LH24" s="3">
        <f>IF(Nbal!IV24&lt;&gt;"",Nbal!IV24,LG24)</f>
        <v>960.58823529411757</v>
      </c>
      <c r="LI24" s="3">
        <f>LH24*Z24</f>
        <v>2833.7352941176468</v>
      </c>
      <c r="LJ24" s="3"/>
      <c r="LK24">
        <f>IF(AND($S24=1,VLOOKUP($R24,Afgr,Data!$CP$3)&gt;0),((1+$BC24/VLOOKUP($R24,Afgr,Data!$CP$3))/2)*VLOOKUP($R24,Afgr,Data!$CQ$3),0)</f>
        <v>525</v>
      </c>
      <c r="LL24">
        <f>IF(AND($S24=1,VLOOKUP($R24,Afgr,Data!$CP$3)&gt;0),($BC24/VLOOKUP($R24,Afgr,Data!$CP$3))*VLOOKUP($R24,Afgr,Data!$CR$3),0)</f>
        <v>200</v>
      </c>
      <c r="LM24">
        <f>(LK24+LL24)*MaskJust</f>
        <v>725</v>
      </c>
      <c r="LN24" s="3">
        <f>IF(Nbal!JB24&lt;&gt;"",Nbal!JB24,LM24)</f>
        <v>725</v>
      </c>
      <c r="LO24" s="3">
        <f>LN24*Z24</f>
        <v>2138.75</v>
      </c>
      <c r="LQ24">
        <f>$AM24*VLOOKUP($R24,Afgr,Data!$CS$3)*IF($V24=1,VLOOKUP($R24,Afgr,Data!$CT$3),IF($V24=2,VLOOKUP($R24,Afgr,Data!$CU$3),0))</f>
        <v>517.44000000000005</v>
      </c>
      <c r="LR24" s="3">
        <f>IF(Nbal!JK24&lt;&gt;"",Nbal!JK24,LQ24)</f>
        <v>517.44000000000005</v>
      </c>
      <c r="LS24" s="3">
        <f>LR24*Z24</f>
        <v>1526.4480000000003</v>
      </c>
      <c r="LU24">
        <f>VLOOKUP($T24,Efgr,Data!$AC$53)*UdsaedJust</f>
        <v>160</v>
      </c>
      <c r="LV24" s="3">
        <f>IF(Nbal!$JS24&lt;&gt;"",Nbal!$JS24,LU24)</f>
        <v>160</v>
      </c>
      <c r="LW24" s="3">
        <f>LV24*Z24</f>
        <v>472</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160</v>
      </c>
      <c r="NB24">
        <f>VLOOKUP($T24,Efgr,Data!$AU$53)*K24*MaskJust</f>
        <v>75</v>
      </c>
      <c r="NC24" s="3">
        <f>IF(Nbal!KQ24&lt;&gt;"",Nbal!KQ24,NB24)</f>
        <v>75</v>
      </c>
      <c r="ND24" s="3">
        <f>NC24*Z24</f>
        <v>221.25</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180</v>
      </c>
      <c r="OA24" s="3">
        <f>IF(Nbal!MA24&lt;&gt;"",Nbal!MA24,NZ24)</f>
        <v>180</v>
      </c>
      <c r="OB24" s="3">
        <f>OA24*Z24</f>
        <v>531</v>
      </c>
      <c r="OD24">
        <f>IL24</f>
        <v>9620</v>
      </c>
      <c r="OE24">
        <f>JW24+MZ24</f>
        <v>1159.1500000000001</v>
      </c>
      <c r="OF24">
        <f>OD24-OE24</f>
        <v>8460.85</v>
      </c>
      <c r="OG24">
        <f>OF24*Z24</f>
        <v>24959.507500000003</v>
      </c>
      <c r="OJ24">
        <f>VLOOKUP($O24,Afgr,Data!$BP$3)+VLOOKUP($P24,Efgr,Data!$AM$53)</f>
        <v>1</v>
      </c>
      <c r="OK24" s="3">
        <f>OJ24*Z24</f>
        <v>2.95</v>
      </c>
      <c r="OL24">
        <f>VLOOKUP($R24,Afgr,Data!$BP$3)+VLOOKUP($T24,Efgr,Data!$AM$53)</f>
        <v>1</v>
      </c>
      <c r="OM24" s="3">
        <f>OL24*Z24</f>
        <v>2.95</v>
      </c>
      <c r="OO24">
        <f>VLOOKUP($P24,Efgr,Data!$AN$53)</f>
        <v>1</v>
      </c>
      <c r="OP24">
        <f>VLOOKUP($O24,Afgr,Data!$BQ$3)</f>
        <v>1</v>
      </c>
      <c r="OQ24">
        <f>VLOOKUP($R24,Afgr,Data!$BR$3)</f>
        <v>1</v>
      </c>
      <c r="OR24">
        <f>OO24*OP24*OQ24</f>
        <v>1</v>
      </c>
      <c r="OS24" s="3">
        <f>OR24*Z24</f>
        <v>2.95</v>
      </c>
      <c r="OT24" s="3">
        <f>IF(Q24,1,0)*OS24</f>
        <v>0</v>
      </c>
      <c r="OV24">
        <f>VLOOKUP($T24,Efgr,Data!$AN$53)</f>
        <v>1</v>
      </c>
      <c r="OW24">
        <f>VLOOKUP($R24,Afgr,Data!$BQ$3)</f>
        <v>1</v>
      </c>
      <c r="OX24">
        <f>VLOOKUP($X24,Afgr,Data!$BR$3)</f>
        <v>1</v>
      </c>
      <c r="OY24">
        <f>OV24*OW24*OX24</f>
        <v>1</v>
      </c>
      <c r="OZ24" s="3">
        <f>OY24*Z24</f>
        <v>2.95</v>
      </c>
      <c r="PB24">
        <f>VLOOKUP($T24,Efgr,Data!$AO$53)</f>
        <v>0</v>
      </c>
      <c r="PC24">
        <f>VLOOKUP($O24,Afgr,Data!$BQ$3)</f>
        <v>1</v>
      </c>
      <c r="PD24">
        <f>VLOOKUP($R24,Afgr,Data!$BS$3)</f>
        <v>0</v>
      </c>
      <c r="PE24" s="3">
        <f>PB24*PC24*PD24*$Z24</f>
        <v>0</v>
      </c>
      <c r="PG24">
        <f>VLOOKUP($T24,Efgr,Data!$AO$53)</f>
        <v>0</v>
      </c>
      <c r="PH24">
        <f>VLOOKUP($R24,Afgr,Data!$BQ$3)</f>
        <v>1</v>
      </c>
      <c r="PI24">
        <f>VLOOKUP($X24,Afgr,Data!$BS$3)</f>
        <v>0</v>
      </c>
      <c r="PJ24" s="3">
        <f>PG24*PH24*PI24*$Z24</f>
        <v>0</v>
      </c>
      <c r="PK24" s="3"/>
      <c r="PL24" s="3">
        <f>VLOOKUP($O24,Afgr,Data!$BU$3)</f>
        <v>0</v>
      </c>
      <c r="PM24" s="3">
        <f>PL24*Z24</f>
        <v>0</v>
      </c>
      <c r="PN24" s="3">
        <f>VLOOKUP($R24,Afgr,Data!$BU$3)</f>
        <v>0</v>
      </c>
      <c r="PO24" s="3">
        <f>PN24*Z24</f>
        <v>0</v>
      </c>
      <c r="PQ24">
        <f>VLOOKUP(R24,Afgr,Data!$BX$3)+VLOOKUP(T24,Efgr,Data!$AQ$53)</f>
        <v>0</v>
      </c>
      <c r="PR24">
        <f>IF(PQ24&gt;0,Z24,0)</f>
        <v>0</v>
      </c>
      <c r="PT24">
        <f>VLOOKUP($O24,Afgr,Data!$BT$3)</f>
        <v>1</v>
      </c>
      <c r="PU24" s="3">
        <f>PT24*Z24</f>
        <v>2.95</v>
      </c>
      <c r="PV24">
        <f>VLOOKUP($R24,Afgr,Data!$BT$3)</f>
        <v>1</v>
      </c>
      <c r="PW24" s="3">
        <f>PV24*Z24</f>
        <v>2.95</v>
      </c>
      <c r="PY24">
        <f>VLOOKUP($R24,Afgr,Data!$BV$3)</f>
        <v>0</v>
      </c>
      <c r="PZ24">
        <f>PY24*Z24</f>
        <v>0</v>
      </c>
      <c r="QB24">
        <f>VLOOKUP($R24,Afgr,Data!$BW$3)</f>
        <v>0</v>
      </c>
      <c r="QC24">
        <f>QB24*Z24</f>
        <v>0</v>
      </c>
      <c r="QE24">
        <f>AM24*IF(VLOOKUP($R24,Afgr,Data!$BJ$3)&gt;0,1,0)</f>
        <v>56</v>
      </c>
      <c r="QF24">
        <f>QE24*Z24</f>
        <v>165.20000000000002</v>
      </c>
      <c r="QH24">
        <f>AM24*VLOOKUP(R24,Afgr,Data!$BK$3)</f>
        <v>5292</v>
      </c>
      <c r="QI24">
        <f>Z24*QH24</f>
        <v>15611.400000000001</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16850.400000000001</v>
      </c>
      <c r="QS24">
        <f>IF(VLOOKUP($R24,Afgr,Data!$DA$3)="Vinterbyg",$AN24,0)*VLOOKUP($R24,Afgr,Data!$BJ$3)</f>
        <v>0</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1</v>
      </c>
      <c r="RB24">
        <f>RA24*LW24</f>
        <v>472</v>
      </c>
      <c r="RC24">
        <f>RA24*MT24</f>
        <v>0</v>
      </c>
      <c r="RD24">
        <f>ND24</f>
        <v>221.25</v>
      </c>
      <c r="RE24">
        <f>RA24*OB24</f>
        <v>531</v>
      </c>
      <c r="RH24">
        <f>VLOOKUP(B24,Jordtype,Data!$Y$112+DenitNr-1)</f>
        <v>7.25</v>
      </c>
      <c r="RI24">
        <f>FF24*VLOOKUP(B24,Jordtype,Data!$AB$112+DenitNr-1)</f>
        <v>1.08</v>
      </c>
      <c r="RJ24">
        <f>((CJ24+CK24+CL24+Regn2!CO24*0.7)-(RR24+RT24))*VLOOKUP(B24,Jordtype,Data!$AE$112+DenitNr-1)</f>
        <v>7.9550625000000013</v>
      </c>
      <c r="RK24">
        <f>0*VLOOKUP(B24,Jordtype,Data!$AE$112+DenitNr-1)</f>
        <v>0</v>
      </c>
      <c r="RL24">
        <f>Regn2!FD24*VLOOKUP(B24,Jordtype,Data!$AH$112+DenitNr-1)</f>
        <v>0</v>
      </c>
      <c r="RM24" s="3">
        <f>RH24+RI24+RJ24+RK24+RL24</f>
        <v>16.285062500000002</v>
      </c>
      <c r="RO24">
        <v>2</v>
      </c>
      <c r="RP24">
        <f>(FF24)*RO24*0.01</f>
        <v>0.54</v>
      </c>
      <c r="RQ24">
        <v>7</v>
      </c>
      <c r="RR24">
        <f>CE24*RQ24*0.01</f>
        <v>0</v>
      </c>
      <c r="RS24">
        <v>7</v>
      </c>
      <c r="RT24">
        <f>(Regn2!CF24+Regn2!CG24)*RS24*0.01</f>
        <v>6.09</v>
      </c>
      <c r="RW24">
        <f>VLOOKUP(R24,Afgr,Data!$EE$3)</f>
        <v>5</v>
      </c>
      <c r="RX24" s="3">
        <f>RP24+RR24+RT24+RV24+RW24</f>
        <v>11.629999999999999</v>
      </c>
    </row>
    <row r="25" spans="1:492" x14ac:dyDescent="0.25">
      <c r="GT25" s="12"/>
    </row>
    <row r="26" spans="1:492" x14ac:dyDescent="0.25">
      <c r="A26" s="214" t="str">
        <f>Nbal!B26</f>
        <v>8-1</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19</v>
      </c>
      <c r="P26">
        <v>1</v>
      </c>
      <c r="Q26" t="b">
        <v>0</v>
      </c>
      <c r="R26">
        <v>19</v>
      </c>
      <c r="S26">
        <v>1</v>
      </c>
      <c r="T26">
        <v>1</v>
      </c>
      <c r="U26">
        <v>1</v>
      </c>
      <c r="V26">
        <v>1</v>
      </c>
      <c r="X26">
        <v>40</v>
      </c>
      <c r="Z26">
        <f>Nbal!AG26</f>
        <v>5.85</v>
      </c>
      <c r="AA26">
        <v>1</v>
      </c>
      <c r="AB26">
        <f>VLOOKUP($R26,Afgr,G26)</f>
        <v>330</v>
      </c>
      <c r="AC26">
        <f>VLOOKUP($O26,Afgr,Data!$AI$3)*VLOOKUP(R26,Afgr,Data!$AJ$3)</f>
        <v>0</v>
      </c>
      <c r="AD26">
        <f>IF($Q26,0,VLOOKUP($P26,Efgr,(Data!$W$53+$V$6-1)))</f>
        <v>0</v>
      </c>
      <c r="AE26">
        <f>AB26-AC26-AD26</f>
        <v>330</v>
      </c>
      <c r="AF26">
        <f>AE26*Z26</f>
        <v>1930.4999999999998</v>
      </c>
      <c r="AH26">
        <f>VLOOKUP(R26,Afgr,D26)</f>
        <v>7600</v>
      </c>
      <c r="AI26">
        <f>VLOOKUP(O26,Afgr,Data!$AL$3)*VLOOKUP(R26,Afgr,E26)</f>
        <v>0</v>
      </c>
      <c r="AJ26">
        <f>VLOOKUP(P26,Efgr,(Data!$Y$53+I26))</f>
        <v>0</v>
      </c>
      <c r="AK26">
        <f>AH26+AI26+AJ26</f>
        <v>7600</v>
      </c>
      <c r="AL26">
        <f>AH26+AI26+AJ26</f>
        <v>7600</v>
      </c>
      <c r="AM26" s="3">
        <f>IF(Nbal!CK26&lt;&gt;"",Nbal!CK26,AL26)</f>
        <v>7600</v>
      </c>
      <c r="AN26">
        <f>AM26*Z26</f>
        <v>44460</v>
      </c>
      <c r="AO26" t="str">
        <f>VLOOKUP(R26,Afgr,3)</f>
        <v>FE</v>
      </c>
      <c r="AP26">
        <f>IF(AO26="FE",VLOOKUP($R26,Afgr,Data!$AV$3),0)</f>
        <v>1.24</v>
      </c>
      <c r="AR26">
        <f>VLOOKUP(R26,Afgr,4)</f>
        <v>1.2</v>
      </c>
      <c r="AS26" s="3">
        <f>IF(Nbal!CW26&lt;&gt;"",Nbal!CW26,AR26)</f>
        <v>1.2</v>
      </c>
      <c r="AT26" s="3">
        <f>AM26*AS26</f>
        <v>9120</v>
      </c>
      <c r="AU26" s="3">
        <f>AN26*AS26</f>
        <v>53352</v>
      </c>
      <c r="AW26">
        <f>VLOOKUP(R26,Afgr,Data!$AN$3)</f>
        <v>0</v>
      </c>
      <c r="AX26" s="3">
        <f>IF(Nbal!DC26&lt;&gt;"",Nbal!DC26,AW26)</f>
        <v>0</v>
      </c>
      <c r="AY26" s="3">
        <f>AX26*Z26</f>
        <v>0</v>
      </c>
      <c r="BA26">
        <f>VLOOKUP(R26,Afgr,H26)</f>
        <v>0</v>
      </c>
      <c r="BB26">
        <f>IF(ISERROR(BA26*AM26/AK26),0,(BA26*AM26/AK26))</f>
        <v>0</v>
      </c>
      <c r="BC26" s="3">
        <f>IF(Nbal!DI26&lt;&gt;"",Nbal!DI26,BB26)</f>
        <v>0</v>
      </c>
      <c r="BD26">
        <f>BC26*Z26</f>
        <v>0</v>
      </c>
      <c r="BG26">
        <f>IF($S26=1,BC26,0)</f>
        <v>0</v>
      </c>
      <c r="BH26">
        <f>IF($S26=1,BD26,0)</f>
        <v>0</v>
      </c>
      <c r="BI26">
        <f>VLOOKUP(R26,Afgr,Data!$AM$3)</f>
        <v>0</v>
      </c>
      <c r="BJ26">
        <f>IF(Nbal!DR26&lt;&gt;"",Nbal!DR26,BI26)</f>
        <v>0</v>
      </c>
      <c r="BK26">
        <f>BG26*BJ26</f>
        <v>0</v>
      </c>
      <c r="BL26">
        <f>BH26*BJ26</f>
        <v>0</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40</v>
      </c>
      <c r="CB26" s="2">
        <f>Nbal!DZ26</f>
        <v>0</v>
      </c>
      <c r="CC26" s="211">
        <f>Nbal!AT26+Nbal!DZ26</f>
        <v>40</v>
      </c>
      <c r="CD26" s="211">
        <f>Nbal!AX26</f>
        <v>0</v>
      </c>
      <c r="CE26">
        <f>Nbal!BH26</f>
        <v>0</v>
      </c>
      <c r="CF26" s="211">
        <f>Nbal!BM26</f>
        <v>510</v>
      </c>
      <c r="CG26" s="2">
        <f>Nbal!EI26</f>
        <v>0</v>
      </c>
      <c r="CH26" s="211">
        <f>Nbal!BM26+Nbal!EI26</f>
        <v>510</v>
      </c>
      <c r="CI26" s="211">
        <f>Nbal!BW26</f>
        <v>0</v>
      </c>
      <c r="CJ26" s="211">
        <f>Nbal!BH26*Nbal!BJ26*0.01</f>
        <v>0</v>
      </c>
      <c r="CK26" s="211">
        <f>(Nbal!BM26*Nbal!BP26*0.01)</f>
        <v>374.85</v>
      </c>
      <c r="CL26" s="211">
        <f>(Nbal!EI26*Nbal!EL26*0.01)</f>
        <v>0</v>
      </c>
      <c r="CM26" s="211">
        <f>(Nbal!BM26*Nbal!BP26*0.01)+(Nbal!EI26*Nbal!EL26*0.01)</f>
        <v>374.85</v>
      </c>
      <c r="CN26" s="211">
        <f>Nbal!BW26*Nbal!BY26*0.01</f>
        <v>0</v>
      </c>
      <c r="CO26">
        <f>Nbal!BT26+Nbal!ER26</f>
        <v>0</v>
      </c>
      <c r="CQ26">
        <f>Nbal!BA26</f>
        <v>0</v>
      </c>
      <c r="CR26">
        <f>Nbal!EC26</f>
        <v>0</v>
      </c>
      <c r="CS26">
        <f>(CQ26+CR26)*Z26</f>
        <v>0</v>
      </c>
      <c r="CT26">
        <f>Nbal!CB26</f>
        <v>103</v>
      </c>
      <c r="CU26">
        <f>Nbal!EV26</f>
        <v>0</v>
      </c>
      <c r="CV26">
        <f>(CT26+CU26)*Z26</f>
        <v>602.54999999999995</v>
      </c>
      <c r="CW26">
        <f>Nbal!BA26+Nbal!CB26+Nbal!EC26+Nbal!EV26</f>
        <v>103</v>
      </c>
      <c r="CY26">
        <f>Nbal!BD26</f>
        <v>0</v>
      </c>
      <c r="CZ26">
        <f>Nbal!EF26</f>
        <v>0</v>
      </c>
      <c r="DA26">
        <f>(CY26+CZ26)*Z26</f>
        <v>0</v>
      </c>
      <c r="DB26">
        <f>Nbal!CE26</f>
        <v>277</v>
      </c>
      <c r="DC26">
        <f>Nbal!EY26</f>
        <v>0</v>
      </c>
      <c r="DD26">
        <f>(DB26+DC26)*Z26</f>
        <v>1620.4499999999998</v>
      </c>
      <c r="DE26">
        <f>Nbal!BD26+Nbal!CE26+Nbal!EF26+Nbal!EY26</f>
        <v>277</v>
      </c>
      <c r="DG26">
        <f>VLOOKUP($R26,Afgr,Data!$AW$3)</f>
        <v>16.3125</v>
      </c>
      <c r="DH26">
        <f>IF($AO26="FE",$AM26*$AP26*$DG26*0.01,$AM26*100*$DM26*0.01*$DG26*0.01)</f>
        <v>1537.29</v>
      </c>
      <c r="DI26">
        <f>IF(VLOOKUP(R26,Afgr,Data!$BO$3)=1,DH26,0)*Z26</f>
        <v>0</v>
      </c>
      <c r="DJ26" s="12">
        <f>(BZ26+CC26+CJ26-AE26)*VLOOKUP($R26,Afgr,Data!$AX$3)</f>
        <v>0</v>
      </c>
      <c r="DK26">
        <f>DG26+DJ26</f>
        <v>16.3125</v>
      </c>
      <c r="DL26">
        <f>IF(Nbal!CQ26&lt;&gt;"",Nbal!CQ26,DK26)</f>
        <v>16.3125</v>
      </c>
      <c r="DM26">
        <f>VLOOKUP(R26,Afgr,Data!$AT$3)</f>
        <v>0</v>
      </c>
      <c r="DN26">
        <f>IF($AO26="FE",$AM26*$AP26*$DL26*0.01,$AM26*100*$DM26*0.01*DL26*0.01)</f>
        <v>1537.29</v>
      </c>
      <c r="DO26">
        <f>IF(VLOOKUP(R26,Afgr,Data!$BO$3)=1,DN26,0)*Z26</f>
        <v>0</v>
      </c>
      <c r="DP26">
        <f>IF(ISERROR(DN26/VLOOKUP(R26,Afgr,Data!$AY$3)),0,DN26/VLOOKUP(R26,Afgr,Data!$AY$3))</f>
        <v>245.96639999999999</v>
      </c>
      <c r="DQ26">
        <f>DP26*Z26</f>
        <v>1438.9034399999998</v>
      </c>
      <c r="DS26">
        <f>IF($AO26="FE",$AM26*$AP26*VLOOKUP($R26,Afgr,Data!$BC$3)*0.001,$AM26*100*$DM26*0.01*VLOOKUP($R26,Afgr,Data!$BC$3)*0.001)</f>
        <v>34.8688</v>
      </c>
      <c r="DT26">
        <f>DS26*Z26</f>
        <v>203.98247999999998</v>
      </c>
      <c r="DV26">
        <f>IF($AO26="FE",$AM26*$AP26*VLOOKUP($R26,Afgr,Data!$BF$3)*0.001,$AM26*100*$DM26*0.01*VLOOKUP($R26,Afgr,Data!$BF$3)*0.001)</f>
        <v>273.29599999999999</v>
      </c>
      <c r="DW26">
        <f>DV26*Z26</f>
        <v>1598.7815999999998</v>
      </c>
      <c r="DY26">
        <f>IF(ISERROR(VLOOKUP(R26,Afgr,Data!$AZ$3)*DL26/DG26),0,VLOOKUP(R26,Afgr,Data!$AZ$3)*DL26/DG26)</f>
        <v>0</v>
      </c>
      <c r="DZ26">
        <f>VLOOKUP(R26,Afgr,Data!$AU$3)</f>
        <v>0</v>
      </c>
      <c r="EA26">
        <f>IF($S26=1,$BC26*$DZ26*0.01*DY26*0.01,0)</f>
        <v>0</v>
      </c>
      <c r="EB26">
        <f>EA26/6.25</f>
        <v>0</v>
      </c>
      <c r="EC26">
        <f>EB26*Z26</f>
        <v>0</v>
      </c>
      <c r="EE26">
        <f>IF($S26=1,$BC26*$DZ26*0.01*VLOOKUP($R26,Afgr,Data!$BD$3)*0.001,0)</f>
        <v>0</v>
      </c>
      <c r="EF26">
        <f>EE26*Z26</f>
        <v>0</v>
      </c>
      <c r="EH26">
        <f>IF($S26=1,$BC26*$DZ26*0.01*VLOOKUP($R26,Afgr,Data!$BG$3)*0.001,0)</f>
        <v>0</v>
      </c>
      <c r="EI26">
        <f>EH26*Z26</f>
        <v>0</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414.85</v>
      </c>
      <c r="EZ26">
        <f>IF(VLOOKUP($R26,Afgr,Data!$DS$3)=5,($AM26*0.02742-$AM26*0.0001*$EY26+$AM26*0.0000001111*$EY26*$EY26),0)</f>
        <v>38.420797178100003</v>
      </c>
      <c r="FA26" s="2">
        <f>CB26+CL26</f>
        <v>0</v>
      </c>
      <c r="FB26">
        <f>IF(VLOOKUP($T26,Efgr,Data!$BH$53)=5,($BR26*0.02742-$BR26*0.0001*$FA26+$BR26*0.0000001111*$FA26*$FA26),0)</f>
        <v>0</v>
      </c>
      <c r="FC26" s="3">
        <f>EU26+EV26+EW26+EX26+EZ26+FB26</f>
        <v>38.420797178100003</v>
      </c>
      <c r="FD26" s="3">
        <f>FC26*Z26</f>
        <v>224.761663491885</v>
      </c>
      <c r="FF26" s="211">
        <f>BZ26+CC26</f>
        <v>40</v>
      </c>
      <c r="FG26" s="211">
        <f>FF26*Z26</f>
        <v>234</v>
      </c>
      <c r="FH26" s="211">
        <f>CE26+CH26+CO26</f>
        <v>510</v>
      </c>
      <c r="FI26" s="211">
        <f>FH26*Z26</f>
        <v>2983.5</v>
      </c>
      <c r="FJ26">
        <f>VLOOKUP($R26,Afgr,Data!$DK$3)*VLOOKUP($R26,Afgr,Data!$AT$3)*0.01*VLOOKUP($R26,Afgr,Data!$AW$3)*0.01/6.25</f>
        <v>0</v>
      </c>
      <c r="FK26">
        <f>FJ26*Z26</f>
        <v>0</v>
      </c>
      <c r="FL26" s="4">
        <f>IF(R26&gt;1,Deposition,0)</f>
        <v>15</v>
      </c>
      <c r="FM26" s="4">
        <f>FL26*Z26</f>
        <v>87.75</v>
      </c>
      <c r="FN26">
        <f>FC26</f>
        <v>38.420797178100003</v>
      </c>
      <c r="FO26">
        <f>FN26*Z26</f>
        <v>224.761663491885</v>
      </c>
      <c r="FP26" s="211">
        <f>SUM(FF26,FH26,FJ26,FL26,FN26)</f>
        <v>603.42079717809997</v>
      </c>
      <c r="FQ26">
        <f>DP26+EB26+EL26</f>
        <v>245.96639999999999</v>
      </c>
      <c r="FR26" s="3">
        <f>FP26-FQ26</f>
        <v>357.45439717809995</v>
      </c>
      <c r="FS26" s="19">
        <f>FP26*Z26</f>
        <v>3530.0116634918845</v>
      </c>
      <c r="FT26" s="19">
        <f>FQ26*Z26</f>
        <v>1438.9034399999998</v>
      </c>
      <c r="FU26" s="3">
        <f>FR26*Z26</f>
        <v>2091.1082234918845</v>
      </c>
      <c r="FW26">
        <f>CW26</f>
        <v>103</v>
      </c>
      <c r="FX26">
        <f>FW26*Z26</f>
        <v>602.54999999999995</v>
      </c>
      <c r="FY26">
        <f>IX26+MB26</f>
        <v>34.8688</v>
      </c>
      <c r="FZ26">
        <f>FY26*Z26</f>
        <v>203.98247999999998</v>
      </c>
      <c r="GA26">
        <f>FW26-FY26</f>
        <v>68.131200000000007</v>
      </c>
      <c r="GB26">
        <f>GA26*Z26</f>
        <v>398.56752</v>
      </c>
      <c r="GD26">
        <f>DE26</f>
        <v>277</v>
      </c>
      <c r="GE26">
        <f>GD26*Z26</f>
        <v>1620.4499999999998</v>
      </c>
      <c r="GF26">
        <f>JE26+MH26</f>
        <v>273.29599999999999</v>
      </c>
      <c r="GG26">
        <f>GF26*Z26</f>
        <v>1598.7815999999998</v>
      </c>
      <c r="GH26">
        <f>GD26-GF26</f>
        <v>3.7040000000000077</v>
      </c>
      <c r="GI26">
        <f>GH26*Z26</f>
        <v>21.668400000000045</v>
      </c>
      <c r="GK26">
        <f>AA26</f>
        <v>1</v>
      </c>
      <c r="GL26" s="211">
        <f>FF26+FH26+FN26</f>
        <v>588.42079717809997</v>
      </c>
      <c r="GM26" s="211">
        <f>IF(R26=1,"",IF(GK26=1,GL26,""))</f>
        <v>588.42079717809997</v>
      </c>
      <c r="GN26" s="211" t="str">
        <f>IF(R26=1,"",IF(GK26=2,GL26,""))</f>
        <v/>
      </c>
      <c r="GO26" s="211" t="str">
        <f>IF(R26=1,"",IF(GK26=3,GL26,""))</f>
        <v/>
      </c>
      <c r="GP26" s="211" t="str">
        <f>IF(R26=1,"",IF(GK26=4,GL26,""))</f>
        <v/>
      </c>
      <c r="GQ26" s="149">
        <f>IF(OR(R26=1,VLOOKUP(R26,Afgr,Data!$BV$3)=1,VLOOKUP(R26,Afgr,Data!$BW$3)=1),0,IF(GK26=1,Nniveau1,IF(GK26=2,Nniveau2,IF(GK26=3,Nniveau3,IF(GK26=4,Nniveau4,GL26)))))</f>
        <v>197.65542292344122</v>
      </c>
      <c r="GR26" s="222">
        <v>0.32550000000000001</v>
      </c>
      <c r="GS26" s="6">
        <v>0</v>
      </c>
      <c r="GT26" s="149">
        <f>CC26+CM26</f>
        <v>414.85</v>
      </c>
      <c r="GU26" s="6">
        <f>$FN26</f>
        <v>38.420797178100003</v>
      </c>
      <c r="GV26" s="222">
        <v>0.25280000000000002</v>
      </c>
      <c r="GW26">
        <f>CO26</f>
        <v>0</v>
      </c>
      <c r="GX26" s="222">
        <v>0.376</v>
      </c>
      <c r="GY26" s="149">
        <f>CD26+CN26</f>
        <v>0</v>
      </c>
      <c r="GZ26" s="222">
        <f>IF(B26&gt;3,0.3539,1.0749)</f>
        <v>0.35389999999999999</v>
      </c>
      <c r="HA26" s="11">
        <f>$FQ26</f>
        <v>245.96639999999999</v>
      </c>
      <c r="HB26" s="222">
        <v>0.19359999999999999</v>
      </c>
      <c r="HC26" s="222">
        <f>VLOOKUP($R26,Afgr,Data!$DM$3)</f>
        <v>7</v>
      </c>
      <c r="HD26" s="24">
        <f>IF($HC26&gt;1,0,(VLOOKUP($X26,Afgr,Data!$DP$3)+IF(VLOOKUP($X26,Afgr,Data!$DP$3)=0,VLOOKUP($T26,Efgr,Data!$BI$53,0))))+IF(AND($HC26=7,VLOOKUP($X26,Afgr,Data!$DQ$3)=-2),-2,0)+IF(AND($HC26=6,VLOOKUP($T26,Efgr,Data!$BI$53)=2),8,0)</f>
        <v>0</v>
      </c>
      <c r="HE26" s="6">
        <f>VLOOKUP(SUM(HC26:HD26),Nlesafgr,3)</f>
        <v>-165.7</v>
      </c>
      <c r="HF26" s="7">
        <f>VLOOKUP($O26,Afgr,Data!$DN$3)</f>
        <v>4</v>
      </c>
      <c r="HG26" s="24">
        <f>IF(HF26&gt;1,0,VLOOKUP($R26,Afgr,Data!$DO$3)+IF(VLOOKUP($R26,Afgr,Data!$DO$3)=1,0,VLOOKUP($P26,Efgr,Data!$BJ$53)))</f>
        <v>0</v>
      </c>
      <c r="HH26" s="6">
        <f>VLOOKUP(SUM(HF26:HG26),Nlesforfrugt,3)</f>
        <v>34.700000000000003</v>
      </c>
      <c r="HI26" s="222">
        <f>GR26*GQ26+GV26*(GT26+GU26)+GX26*GW26+GZ26*GY26-HB26*HA26+HE26+HH26</f>
        <v>0.30460264820381155</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0.30460264820381155</v>
      </c>
      <c r="HQ26" s="222">
        <v>1.5020000000000001E-3</v>
      </c>
      <c r="HR26" s="24">
        <f>IF(R26=1,0,VLOOKUP(PostnrNbal,AfstromData,VLOOKUP($R26,Afgr,Data!$DL$3)+IF(Jordtype1&lt;7,Jordtype1,6),FALSE)-VLOOKUP(T26,Efgr,Data!$AA$53))</f>
        <v>272.32333333333298</v>
      </c>
      <c r="HS26" s="24">
        <f>IF(Nbal!GA26&lt;&gt;"",Nbal!GA26,Regn2!HR26)</f>
        <v>272.32333333333298</v>
      </c>
      <c r="HT26" s="222">
        <v>5.5400000000000002E-4</v>
      </c>
      <c r="HU26" s="24">
        <f>IF(R26=1,0,VLOOKUP(PostnrNbal,AfstromData,VLOOKUP($O26,Afgr,Data!$DL$3)+IF(B26&lt;7,B26,6),FALSE)-VLOOKUP(P26,Efgr,Data!$AA$53))</f>
        <v>272.32333333333298</v>
      </c>
      <c r="HV26" s="24">
        <f>IF(Nbal!FU26&lt;&gt;"",Nbal!FU26,Regn2!HU26)</f>
        <v>272.32333333333298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21.777855834533796</v>
      </c>
      <c r="ID26">
        <f>IC26*Z26</f>
        <v>127.4004566320227</v>
      </c>
      <c r="IE26">
        <f>IF(Nbal!GF26&lt;&gt;"",Nbal!GF26,RetentionNbal)</f>
        <v>65</v>
      </c>
      <c r="IF26">
        <f>IC26*(100-IE26)*0.01</f>
        <v>7.6222495420868288</v>
      </c>
      <c r="IG26">
        <f>IF26*Z26</f>
        <v>44.590159821207948</v>
      </c>
      <c r="IH26" s="2">
        <f>HS26*10000</f>
        <v>2723233.3333333298</v>
      </c>
      <c r="II26" s="2">
        <f>IH26*Z26</f>
        <v>15930914.999999978</v>
      </c>
      <c r="IJ26">
        <f>IF(ISERROR(IC26*1000*1000/IH26),0,IC26*1000*1000/IH26)</f>
        <v>7.9970583379562861</v>
      </c>
      <c r="IL26">
        <f>AT26+AX26+BK26+BU26</f>
        <v>9120</v>
      </c>
      <c r="IO26">
        <f>VLOOKUP(R26,Afgr,Data!$AP$3)*UdsaedJust</f>
        <v>420</v>
      </c>
      <c r="IP26" s="3">
        <f>IF(Nbal!GN26&lt;&gt;"",Nbal!GN26,IO26)</f>
        <v>420</v>
      </c>
      <c r="IQ26" s="3">
        <f>IP26*Z26</f>
        <v>2457</v>
      </c>
      <c r="IS26" s="3">
        <f>IF(HdgVaerdiNbal=1,(BZ26+CA26)*Npris,(BZ26+CA26+CJ26+CK26)*Npris)</f>
        <v>338</v>
      </c>
      <c r="IT26" s="3">
        <f>IS26*Z26</f>
        <v>1977.3</v>
      </c>
      <c r="IV26">
        <f>VLOOKUP($R26,Afgr,Data!$BA$3)</f>
        <v>0</v>
      </c>
      <c r="IW26">
        <f>VLOOKUP($R26,Afgr,Data!$BB$3)</f>
        <v>0</v>
      </c>
      <c r="IX26">
        <f>$DS26+$EE26</f>
        <v>34.8688</v>
      </c>
      <c r="IY26">
        <f>CT26</f>
        <v>103</v>
      </c>
      <c r="IZ26">
        <f>CQ26</f>
        <v>0</v>
      </c>
      <c r="JA26" s="3">
        <f>IF(HdgVaerdiNbal=1,(IZ26)*Ppris,(IY26+IZ26)*Ppris)</f>
        <v>0</v>
      </c>
      <c r="JB26" s="3">
        <f>JA26*Z26</f>
        <v>0</v>
      </c>
      <c r="JD26">
        <f>IF(AND(R26&gt;1,OR(Jordtype1=1,Jordtype1=3,Markvand1=2)),Kudvask,0)</f>
        <v>0</v>
      </c>
      <c r="JE26">
        <f>$DV26+$EH26</f>
        <v>273.29599999999999</v>
      </c>
      <c r="JF26">
        <f>DB26</f>
        <v>277</v>
      </c>
      <c r="JG26">
        <f>CY26</f>
        <v>0</v>
      </c>
      <c r="JH26" s="3">
        <f>IF(HdgVaerdiNbal=1,JG26*Kpris,(JF26+JG26)*Kpris)</f>
        <v>0</v>
      </c>
      <c r="JI26" s="3">
        <f>JH26*Z26</f>
        <v>0</v>
      </c>
      <c r="JK26">
        <f>IS26+JA26+JH26</f>
        <v>338</v>
      </c>
      <c r="JL26" s="3">
        <f>IF(Nbal!GT26&lt;&gt;"",Nbal!GT26,$JK26)</f>
        <v>338</v>
      </c>
      <c r="JM26" s="3">
        <f>JL26*Z26</f>
        <v>1977.3</v>
      </c>
      <c r="JO26">
        <f>VLOOKUP(R26,Afgr,Data!$AQ$3)*PlantevJust</f>
        <v>0</v>
      </c>
      <c r="JP26" s="3">
        <f>IF(Nbal!GZ26&lt;&gt;"",Nbal!GZ26,JO26)</f>
        <v>0</v>
      </c>
      <c r="JQ26" s="3">
        <f>JP26*Z26</f>
        <v>0</v>
      </c>
      <c r="JS26">
        <f>VLOOKUP(R26,Afgr,Data!$AR$3)+AM26*VLOOKUP(R26,Afgr,Data!$BH$3)</f>
        <v>395.2</v>
      </c>
      <c r="JT26" s="3">
        <f>IF(Nbal!HF26&lt;&gt;"",Nbal!HF26,JS26)</f>
        <v>395.2</v>
      </c>
      <c r="JU26">
        <f>JT26*Z26</f>
        <v>2311.9199999999996</v>
      </c>
      <c r="JW26">
        <f>IP26+JL26+JP26+JT26</f>
        <v>1153.2</v>
      </c>
      <c r="JY26">
        <f>IF(VLOOKUP(R26,Afgr,Data!$BY$3)&gt;0,Data!$K$259*J26,0)</f>
        <v>0</v>
      </c>
      <c r="JZ26">
        <f>IF(VLOOKUP(R26,Afgr,Data!$BZ$3)&gt;0,Data!$K$260*J26,0)</f>
        <v>0</v>
      </c>
      <c r="KA26">
        <f>(JY26+JZ26)*MaskJust</f>
        <v>0</v>
      </c>
      <c r="KB26" s="3">
        <f>IF(Nbal!HL26&lt;&gt;"",Nbal!HL26,KA26)</f>
        <v>0</v>
      </c>
      <c r="KC26" s="3">
        <f>KB26*Z26</f>
        <v>0</v>
      </c>
      <c r="KE26">
        <f>IF(VLOOKUP(R26,Afgr,Data!$CA$3)&gt;0,VLOOKUP(R26,Afgr,Data!$CA$3)*Data!$K$261*K26,0)</f>
        <v>0</v>
      </c>
      <c r="KF26">
        <f>IF(VLOOKUP(R26,Afgr,Data!$CC$3)&gt;0,Data!$K$262*K26,0)</f>
        <v>0</v>
      </c>
      <c r="KG26">
        <f>IF(VLOOKUP(R26,Afgr,Data!$CD$3)&gt;0,VLOOKUP(R26,Afgr,Data!$CD$3)*Data!$K$263*K26,0)</f>
        <v>125</v>
      </c>
      <c r="KH26">
        <f>IF(VLOOKUP(R26,Afgr,Data!$CE$3)&gt;0,Data!$K$264*K26,0)</f>
        <v>0</v>
      </c>
      <c r="KI26">
        <f>IF(VLOOKUP(R26,Afgr,Data!$CF$3)&gt;0,Data!$K$265*K26,0)</f>
        <v>0</v>
      </c>
      <c r="KJ26">
        <f>IF(VLOOKUP(R26,Afgr,Data!$CV$3)&gt;0,Data!$K$266,0)</f>
        <v>0</v>
      </c>
      <c r="KK26">
        <f>IF(VLOOKUP(R26,Afgr,Data!$CG$3)&gt;0,Data!$K$267*K26,0)</f>
        <v>0</v>
      </c>
      <c r="KL26">
        <f>(KE26+KF26+KG26+KH26+KI26+KJ26+KK26)*MaskJust</f>
        <v>125</v>
      </c>
      <c r="KM26" s="3">
        <f>IF(Nbal!HR26&lt;&gt;"",Nbal!HR26,KL26)</f>
        <v>125</v>
      </c>
      <c r="KN26" s="3">
        <f>KM26*Z26</f>
        <v>731.25</v>
      </c>
      <c r="KP26">
        <f>IF(VLOOKUP(R26,Afgr,Data!$CJ$3)&gt;0,VLOOKUP(R26,Afgr,Data!$CJ$3)*Data!$K$268*K26,0)*MaskJust</f>
        <v>420</v>
      </c>
      <c r="KQ26" s="3">
        <f>IF(Nbal!HX26&lt;&gt;"",Nbal!HX26,KP26)</f>
        <v>420</v>
      </c>
      <c r="KR26" s="3">
        <f>KQ26*Z26</f>
        <v>2457</v>
      </c>
      <c r="KT26">
        <f>IF(VLOOKUP(R26,Afgr,Data!$CI$3)&gt;0,VLOOKUP(R26,Afgr,Data!$CI$3)*Data!$K$269,0)*MaskJust</f>
        <v>0</v>
      </c>
      <c r="KU26" s="3">
        <f>IF(Nbal!ID26&lt;&gt;"",Nbal!ID26,KT26)</f>
        <v>0</v>
      </c>
      <c r="KV26" s="3">
        <f>KU26*Z26</f>
        <v>0</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1521</v>
      </c>
      <c r="LE26">
        <f>IF(VLOOKUP($R26,Afgr,Data!$CK$3)&gt;0,IF(AND($S26=2,$BA26&gt;0),Data!$K$271,0),0)</f>
        <v>0</v>
      </c>
      <c r="LF26">
        <f>IF(VLOOKUP($R26,Afgr,Data!$CK$3)&gt;0,(AM26/VLOOKUP($R26,Afgr,Data!$CK$3))*VLOOKUP($R26,Afgr,Data!$CO$3)*VLOOKUP($R26,Afgr,Data!$CN$3),0)</f>
        <v>2185</v>
      </c>
      <c r="LG26">
        <f>(LD26+LE26+LF26)*MaskJust</f>
        <v>3706</v>
      </c>
      <c r="LH26" s="3">
        <f>IF(Nbal!IV26&lt;&gt;"",Nbal!IV26,LG26)</f>
        <v>3706</v>
      </c>
      <c r="LI26" s="3">
        <f>LH26*Z26</f>
        <v>21680.1</v>
      </c>
      <c r="LJ26" s="3"/>
      <c r="LK26">
        <f>IF(AND($S26=1,VLOOKUP($R26,Afgr,Data!$CP$3)&gt;0),((1+$BC26/VLOOKUP($R26,Afgr,Data!$CP$3))/2)*VLOOKUP($R26,Afgr,Data!$CQ$3),0)</f>
        <v>0</v>
      </c>
      <c r="LL26">
        <f>IF(AND($S26=1,VLOOKUP($R26,Afgr,Data!$CP$3)&gt;0),($BC26/VLOOKUP($R26,Afgr,Data!$CP$3))*VLOOKUP($R26,Afgr,Data!$CR$3),0)</f>
        <v>0</v>
      </c>
      <c r="LM26">
        <f>(LK26+LL26)*MaskJust</f>
        <v>0</v>
      </c>
      <c r="LN26" s="3">
        <f>IF(Nbal!JB26&lt;&gt;"",Nbal!JB26,LM26)</f>
        <v>0</v>
      </c>
      <c r="LO26" s="3">
        <f>LN26*Z26</f>
        <v>0</v>
      </c>
      <c r="LQ26">
        <f>$AM26*VLOOKUP($R26,Afgr,Data!$CS$3)*IF($V26=1,VLOOKUP($R26,Afgr,Data!$CT$3),IF($V26=2,VLOOKUP($R26,Afgr,Data!$CU$3),0))</f>
        <v>0</v>
      </c>
      <c r="LR26" s="3">
        <f>IF(Nbal!JK26&lt;&gt;"",Nbal!JK26,LQ26)</f>
        <v>0</v>
      </c>
      <c r="LS26" s="3">
        <f>LR26*Z26</f>
        <v>0</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9120</v>
      </c>
      <c r="OE26">
        <f>JW26+MZ26</f>
        <v>1153.2</v>
      </c>
      <c r="OF26">
        <f>OD26-OE26</f>
        <v>7966.8</v>
      </c>
      <c r="OG26">
        <f>OF26*Z26</f>
        <v>46605.78</v>
      </c>
      <c r="OJ26">
        <f>VLOOKUP($O26,Afgr,Data!$BP$3)+VLOOKUP($P26,Efgr,Data!$AM$53)</f>
        <v>0</v>
      </c>
      <c r="OK26" s="3">
        <f>OJ26*Z26</f>
        <v>0</v>
      </c>
      <c r="OL26">
        <f>VLOOKUP($R26,Afgr,Data!$BP$3)+VLOOKUP($T26,Efgr,Data!$AM$53)</f>
        <v>0</v>
      </c>
      <c r="OM26" s="3">
        <f>OL26*Z26</f>
        <v>0</v>
      </c>
      <c r="OO26">
        <f>VLOOKUP($P26,Efgr,Data!$AN$53)</f>
        <v>0</v>
      </c>
      <c r="OP26">
        <f>VLOOKUP($O26,Afgr,Data!$BQ$3)</f>
        <v>0</v>
      </c>
      <c r="OQ26">
        <f>VLOOKUP($R26,Afgr,Data!$BR$3)</f>
        <v>1</v>
      </c>
      <c r="OR26">
        <f>OO26*OP26*OQ26</f>
        <v>0</v>
      </c>
      <c r="OS26" s="3">
        <f>OR26*Z26</f>
        <v>0</v>
      </c>
      <c r="OT26" s="3">
        <f>IF(Q26,1,0)*OS26</f>
        <v>0</v>
      </c>
      <c r="OV26">
        <f>VLOOKUP($T26,Efgr,Data!$AN$53)</f>
        <v>0</v>
      </c>
      <c r="OW26">
        <f>VLOOKUP($R26,Afgr,Data!$BQ$3)</f>
        <v>0</v>
      </c>
      <c r="OX26">
        <f>VLOOKUP($X26,Afgr,Data!$BR$3)</f>
        <v>1</v>
      </c>
      <c r="OY26">
        <f>OV26*OW26*OX26</f>
        <v>0</v>
      </c>
      <c r="OZ26" s="3">
        <f>OY26*Z26</f>
        <v>0</v>
      </c>
      <c r="PB26">
        <f>VLOOKUP($T26,Efgr,Data!$AO$53)</f>
        <v>0</v>
      </c>
      <c r="PC26">
        <f>VLOOKUP($O26,Afgr,Data!$BQ$3)</f>
        <v>0</v>
      </c>
      <c r="PD26">
        <f>VLOOKUP($R26,Afgr,Data!$BS$3)</f>
        <v>0</v>
      </c>
      <c r="PE26" s="3">
        <f>PB26*PC26*PD26*$Z26</f>
        <v>0</v>
      </c>
      <c r="PG26">
        <f>VLOOKUP($T26,Efgr,Data!$AO$53)</f>
        <v>0</v>
      </c>
      <c r="PH26">
        <f>VLOOKUP($R26,Afgr,Data!$BQ$3)</f>
        <v>0</v>
      </c>
      <c r="PI26">
        <f>VLOOKUP($X26,Afgr,Data!$BS$3)</f>
        <v>0</v>
      </c>
      <c r="PJ26" s="3">
        <f>PG26*PH26*PI26*$Z26</f>
        <v>0</v>
      </c>
      <c r="PK26" s="3"/>
      <c r="PL26" s="3">
        <f>VLOOKUP($O26,Afgr,Data!$BU$3)</f>
        <v>0</v>
      </c>
      <c r="PM26" s="3">
        <f>PL26*Z26</f>
        <v>0</v>
      </c>
      <c r="PN26" s="3">
        <f>VLOOKUP($R26,Afgr,Data!$BU$3)</f>
        <v>0</v>
      </c>
      <c r="PO26" s="3">
        <f>PN26*Z26</f>
        <v>0</v>
      </c>
      <c r="PQ26">
        <f>VLOOKUP(R26,Afgr,Data!$BX$3)+VLOOKUP(T26,Efgr,Data!$AQ$53)</f>
        <v>1</v>
      </c>
      <c r="PR26">
        <f>IF(PQ26&gt;0,Z26,0)</f>
        <v>5.85</v>
      </c>
      <c r="PT26">
        <f>VLOOKUP($O26,Afgr,Data!$BT$3)</f>
        <v>1</v>
      </c>
      <c r="PU26" s="3">
        <f>PT26*Z26</f>
        <v>5.85</v>
      </c>
      <c r="PV26">
        <f>VLOOKUP($R26,Afgr,Data!$BT$3)</f>
        <v>1</v>
      </c>
      <c r="PW26" s="3">
        <f>PV26*Z26</f>
        <v>5.85</v>
      </c>
      <c r="PY26">
        <f>VLOOKUP($R26,Afgr,Data!$BV$3)</f>
        <v>0</v>
      </c>
      <c r="PZ26">
        <f>PY26*Z26</f>
        <v>0</v>
      </c>
      <c r="QB26">
        <f>VLOOKUP($R26,Afgr,Data!$BW$3)</f>
        <v>0</v>
      </c>
      <c r="QC26">
        <f>QB26*Z26</f>
        <v>0</v>
      </c>
      <c r="QE26">
        <f>AM26*IF(VLOOKUP($R26,Afgr,Data!$BJ$3)&gt;0,1,0)</f>
        <v>0</v>
      </c>
      <c r="QF26">
        <f>QE26*Z26</f>
        <v>0</v>
      </c>
      <c r="QH26">
        <f>AM26*VLOOKUP(R26,Afgr,Data!$BK$3)</f>
        <v>0</v>
      </c>
      <c r="QI26">
        <f>Z26*QH26</f>
        <v>0</v>
      </c>
      <c r="QJ26">
        <f>$AM26*VLOOKUP($R26,Afgr,Data!$BL$3)+$BR26*VLOOKUP($T26,Efgr,Data!$AP$53)</f>
        <v>7600</v>
      </c>
      <c r="QK26">
        <f>QJ26*Z26</f>
        <v>44460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0</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1.6</v>
      </c>
      <c r="RJ26">
        <f>((CJ26+CK26+CL26+Regn2!CO26*0.7)-(RR26+RT26))*VLOOKUP(B26,Jordtype,Data!$AE$112+DenitNr-1)</f>
        <v>46.633125000000007</v>
      </c>
      <c r="RK26">
        <f>0*VLOOKUP(B26,Jordtype,Data!$AE$112+DenitNr-1)</f>
        <v>0</v>
      </c>
      <c r="RL26">
        <f>Regn2!FD26*VLOOKUP(B26,Jordtype,Data!$AH$112+DenitNr-1)</f>
        <v>30.904728730134192</v>
      </c>
      <c r="RM26" s="3">
        <f>RH26+RI26+RJ26+RK26+RL26</f>
        <v>86.387853730134196</v>
      </c>
      <c r="RO26">
        <v>2</v>
      </c>
      <c r="RP26">
        <f>(FF26)*RO26*0.01</f>
        <v>0.8</v>
      </c>
      <c r="RQ26">
        <v>7</v>
      </c>
      <c r="RR26">
        <f>CE26*RQ26*0.01</f>
        <v>0</v>
      </c>
      <c r="RS26">
        <v>7</v>
      </c>
      <c r="RT26">
        <f>(Regn2!CF26+Regn2!CG26)*RS26*0.01</f>
        <v>35.700000000000003</v>
      </c>
      <c r="RW26">
        <f>VLOOKUP(R26,Afgr,Data!$EE$3)</f>
        <v>0</v>
      </c>
      <c r="RX26" s="3">
        <f>RP26+RR26+RT26+RV26+RW26</f>
        <v>36.5</v>
      </c>
    </row>
    <row r="27" spans="1:492" x14ac:dyDescent="0.25">
      <c r="GT27" s="12"/>
    </row>
    <row r="28" spans="1:492" x14ac:dyDescent="0.25">
      <c r="A28" s="214" t="str">
        <f>Nbal!B28</f>
        <v>9-0</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26</v>
      </c>
      <c r="P28">
        <v>1</v>
      </c>
      <c r="Q28" t="b">
        <v>0</v>
      </c>
      <c r="R28">
        <v>26</v>
      </c>
      <c r="S28">
        <v>1</v>
      </c>
      <c r="T28">
        <v>1</v>
      </c>
      <c r="U28">
        <v>1</v>
      </c>
      <c r="V28">
        <v>1</v>
      </c>
      <c r="X28">
        <v>26</v>
      </c>
      <c r="Z28">
        <f>Nbal!AG28</f>
        <v>2.02</v>
      </c>
      <c r="AA28">
        <v>4</v>
      </c>
      <c r="AB28">
        <f>VLOOKUP($R28,Afgr,G28)</f>
        <v>134</v>
      </c>
      <c r="AC28">
        <f>VLOOKUP($O28,Afgr,Data!$AI$3)*VLOOKUP(R28,Afgr,Data!$AJ$3)</f>
        <v>0</v>
      </c>
      <c r="AD28">
        <f>IF($Q28,0,VLOOKUP($P28,Efgr,(Data!$W$53+$V$6-1)))</f>
        <v>0</v>
      </c>
      <c r="AE28">
        <f>AB28-AC28-AD28</f>
        <v>134</v>
      </c>
      <c r="AF28">
        <f>AE28*Z28</f>
        <v>270.68</v>
      </c>
      <c r="AH28">
        <f>VLOOKUP(R28,Afgr,D28)</f>
        <v>3000</v>
      </c>
      <c r="AI28">
        <f>VLOOKUP(O28,Afgr,Data!$AL$3)*VLOOKUP(R28,Afgr,E28)</f>
        <v>0</v>
      </c>
      <c r="AJ28">
        <f>VLOOKUP(P28,Efgr,(Data!$Y$53+I28))</f>
        <v>0</v>
      </c>
      <c r="AK28">
        <f>AH28+AI28+AJ28</f>
        <v>3000</v>
      </c>
      <c r="AL28">
        <f>AH28+AI28+AJ28</f>
        <v>3000</v>
      </c>
      <c r="AM28" s="3">
        <f>IF(Nbal!CK28&lt;&gt;"",Nbal!CK28,AL28)</f>
        <v>3000</v>
      </c>
      <c r="AN28">
        <f>AM28*Z28</f>
        <v>6060</v>
      </c>
      <c r="AO28" t="str">
        <f>VLOOKUP(R28,Afgr,3)</f>
        <v>FE</v>
      </c>
      <c r="AP28">
        <f>IF(AO28="FE",VLOOKUP($R28,Afgr,Data!$AV$3),0)</f>
        <v>1.1599999999999999</v>
      </c>
      <c r="AR28">
        <f>VLOOKUP(R28,Afgr,4)</f>
        <v>1.2</v>
      </c>
      <c r="AS28" s="3">
        <f>IF(Nbal!CW28&lt;&gt;"",Nbal!CW28,AR28)</f>
        <v>1.2</v>
      </c>
      <c r="AT28" s="3">
        <f>AM28*AS28</f>
        <v>3600</v>
      </c>
      <c r="AU28" s="3">
        <f>AN28*AS28</f>
        <v>7272</v>
      </c>
      <c r="AW28">
        <f>VLOOKUP(R28,Afgr,Data!$AN$3)</f>
        <v>0</v>
      </c>
      <c r="AX28" s="3">
        <f>IF(Nbal!DC28&lt;&gt;"",Nbal!DC28,AW28)</f>
        <v>0</v>
      </c>
      <c r="AY28" s="3">
        <f>AX28*Z28</f>
        <v>0</v>
      </c>
      <c r="BA28">
        <f>VLOOKUP(R28,Afgr,H28)</f>
        <v>0</v>
      </c>
      <c r="BB28">
        <f>IF(ISERROR(BA28*AM28/AK28),0,(BA28*AM28/AK28))</f>
        <v>0</v>
      </c>
      <c r="BC28" s="3">
        <f>IF(Nbal!DI28&lt;&gt;"",Nbal!DI28,BB28)</f>
        <v>0</v>
      </c>
      <c r="BD28">
        <f>BC28*Z28</f>
        <v>0</v>
      </c>
      <c r="BG28">
        <f>IF($S28=1,BC28,0)</f>
        <v>0</v>
      </c>
      <c r="BH28">
        <f>IF($S28=1,BD28,0)</f>
        <v>0</v>
      </c>
      <c r="BI28">
        <f>VLOOKUP(R28,Afgr,Data!$AM$3)</f>
        <v>0</v>
      </c>
      <c r="BJ28">
        <f>IF(Nbal!DR28&lt;&gt;"",Nbal!DR28,BI28)</f>
        <v>0</v>
      </c>
      <c r="BK28">
        <f>BG28*BJ28</f>
        <v>0</v>
      </c>
      <c r="BL28">
        <f>BH28*BJ28</f>
        <v>0</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52</v>
      </c>
      <c r="CB28" s="2">
        <f>Nbal!DZ28</f>
        <v>0</v>
      </c>
      <c r="CC28" s="211">
        <f>Nbal!AT28+Nbal!DZ28</f>
        <v>52</v>
      </c>
      <c r="CD28" s="211">
        <f>Nbal!AX28</f>
        <v>0</v>
      </c>
      <c r="CE28">
        <f>Nbal!BH28</f>
        <v>0</v>
      </c>
      <c r="CF28" s="211">
        <f>Nbal!BM28</f>
        <v>0</v>
      </c>
      <c r="CG28" s="2">
        <f>Nbal!EI28</f>
        <v>0</v>
      </c>
      <c r="CH28" s="211">
        <f>Nbal!BM28+Nbal!EI28</f>
        <v>0</v>
      </c>
      <c r="CI28" s="211">
        <f>Nbal!BW28</f>
        <v>0</v>
      </c>
      <c r="CJ28" s="211">
        <f>Nbal!BH28*Nbal!BJ28*0.01</f>
        <v>0</v>
      </c>
      <c r="CK28" s="211">
        <f>(Nbal!BM28*Nbal!BP28*0.01)</f>
        <v>0</v>
      </c>
      <c r="CL28" s="211">
        <f>(Nbal!EI28*Nbal!EL28*0.01)</f>
        <v>0</v>
      </c>
      <c r="CM28" s="211">
        <f>(Nbal!BM28*Nbal!BP28*0.01)+(Nbal!EI28*Nbal!EL28*0.01)</f>
        <v>0</v>
      </c>
      <c r="CN28" s="211">
        <f>Nbal!BW28*Nbal!BY28*0.01</f>
        <v>0</v>
      </c>
      <c r="CO28">
        <f>Nbal!BT28+Nbal!ER28</f>
        <v>0</v>
      </c>
      <c r="CQ28">
        <f>Nbal!BA28</f>
        <v>7</v>
      </c>
      <c r="CR28">
        <f>Nbal!EC28</f>
        <v>0</v>
      </c>
      <c r="CS28">
        <f>(CQ28+CR28)*Z28</f>
        <v>14.14</v>
      </c>
      <c r="CT28">
        <f>Nbal!CB28</f>
        <v>0</v>
      </c>
      <c r="CU28">
        <f>Nbal!EV28</f>
        <v>0</v>
      </c>
      <c r="CV28">
        <f>(CT28+CU28)*Z28</f>
        <v>0</v>
      </c>
      <c r="CW28">
        <f>Nbal!BA28+Nbal!CB28+Nbal!EC28+Nbal!EV28</f>
        <v>7</v>
      </c>
      <c r="CY28">
        <f>Nbal!BD28</f>
        <v>27</v>
      </c>
      <c r="CZ28">
        <f>Nbal!EF28</f>
        <v>0</v>
      </c>
      <c r="DA28">
        <f>(CY28+CZ28)*Z28</f>
        <v>54.54</v>
      </c>
      <c r="DB28">
        <f>Nbal!CE28</f>
        <v>0</v>
      </c>
      <c r="DC28">
        <f>Nbal!EY28</f>
        <v>0</v>
      </c>
      <c r="DD28">
        <f>(DB28+DC28)*Z28</f>
        <v>0</v>
      </c>
      <c r="DE28">
        <f>Nbal!BD28+Nbal!CE28+Nbal!EF28+Nbal!EY28</f>
        <v>27</v>
      </c>
      <c r="DG28">
        <f>VLOOKUP($R28,Afgr,Data!$AW$3)</f>
        <v>14</v>
      </c>
      <c r="DH28">
        <f>IF($AO28="FE",$AM28*$AP28*$DG28*0.01,$AM28*100*$DM28*0.01*$DG28*0.01)</f>
        <v>487.19999999999993</v>
      </c>
      <c r="DI28">
        <f>IF(VLOOKUP(R28,Afgr,Data!$BO$3)=1,DH28,0)*Z28</f>
        <v>0</v>
      </c>
      <c r="DJ28" s="12">
        <f>(BZ28+CC28+CJ28-AE28)*VLOOKUP($R28,Afgr,Data!$AX$3)</f>
        <v>0</v>
      </c>
      <c r="DK28">
        <f>DG28+DJ28</f>
        <v>14</v>
      </c>
      <c r="DL28">
        <f>IF(Nbal!CQ28&lt;&gt;"",Nbal!CQ28,DK28)</f>
        <v>14</v>
      </c>
      <c r="DM28">
        <f>VLOOKUP(R28,Afgr,Data!$AT$3)</f>
        <v>0</v>
      </c>
      <c r="DN28">
        <f>IF($AO28="FE",$AM28*$AP28*$DL28*0.01,$AM28*100*$DM28*0.01*DL28*0.01)</f>
        <v>487.19999999999993</v>
      </c>
      <c r="DO28">
        <f>IF(VLOOKUP(R28,Afgr,Data!$BO$3)=1,DN28,0)*Z28</f>
        <v>0</v>
      </c>
      <c r="DP28">
        <f>IF(ISERROR(DN28/VLOOKUP(R28,Afgr,Data!$AY$3)),0,DN28/VLOOKUP(R28,Afgr,Data!$AY$3))</f>
        <v>77.951999999999984</v>
      </c>
      <c r="DQ28">
        <f>DP28*Z28</f>
        <v>157.46303999999998</v>
      </c>
      <c r="DS28">
        <f>IF($AO28="FE",$AM28*$AP28*VLOOKUP($R28,Afgr,Data!$BC$3)*0.001,$AM28*100*$DM28*0.01*VLOOKUP($R28,Afgr,Data!$BC$3)*0.001)</f>
        <v>9.743999999999998</v>
      </c>
      <c r="DT28">
        <f>DS28*Z28</f>
        <v>19.682879999999997</v>
      </c>
      <c r="DV28">
        <f>IF($AO28="FE",$AM28*$AP28*VLOOKUP($R28,Afgr,Data!$BF$3)*0.001,$AM28*100*$DM28*0.01*VLOOKUP($R28,Afgr,Data!$BF$3)*0.001)</f>
        <v>62.639999999999993</v>
      </c>
      <c r="DW28">
        <f>DV28*Z28</f>
        <v>126.53279999999999</v>
      </c>
      <c r="DY28">
        <f>IF(ISERROR(VLOOKUP(R28,Afgr,Data!$AZ$3)*DL28/DG28),0,VLOOKUP(R28,Afgr,Data!$AZ$3)*DL28/DG28)</f>
        <v>0</v>
      </c>
      <c r="DZ28">
        <f>VLOOKUP(R28,Afgr,Data!$AU$3)</f>
        <v>0</v>
      </c>
      <c r="EA28">
        <f>IF($S28=1,$BC28*$DZ28*0.01*DY28*0.01,0)</f>
        <v>0</v>
      </c>
      <c r="EB28">
        <f>EA28/6.25</f>
        <v>0</v>
      </c>
      <c r="EC28">
        <f>EB28*Z28</f>
        <v>0</v>
      </c>
      <c r="EE28">
        <f>IF($S28=1,$BC28*$DZ28*0.01*VLOOKUP($R28,Afgr,Data!$BD$3)*0.001,0)</f>
        <v>0</v>
      </c>
      <c r="EF28">
        <f>EE28*Z28</f>
        <v>0</v>
      </c>
      <c r="EH28">
        <f>IF($S28=1,$BC28*$DZ28*0.01*VLOOKUP($R28,Afgr,Data!$BG$3)*0.001,0)</f>
        <v>0</v>
      </c>
      <c r="EI28">
        <f>EH28*Z28</f>
        <v>0</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52</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52</v>
      </c>
      <c r="FG28" s="211">
        <f>FF28*Z28</f>
        <v>105.04</v>
      </c>
      <c r="FH28" s="211">
        <f>CE28+CH28+CO28</f>
        <v>0</v>
      </c>
      <c r="FI28" s="211">
        <f>FH28*Z28</f>
        <v>0</v>
      </c>
      <c r="FJ28">
        <f>VLOOKUP($R28,Afgr,Data!$DK$3)*VLOOKUP($R28,Afgr,Data!$AT$3)*0.01*VLOOKUP($R28,Afgr,Data!$AW$3)*0.01/6.25</f>
        <v>0</v>
      </c>
      <c r="FK28">
        <f>FJ28*Z28</f>
        <v>0</v>
      </c>
      <c r="FL28" s="4">
        <f>IF(R28&gt;1,Deposition,0)</f>
        <v>15</v>
      </c>
      <c r="FM28" s="4">
        <f>FL28*Z28</f>
        <v>30.3</v>
      </c>
      <c r="FN28">
        <f>FC28</f>
        <v>0</v>
      </c>
      <c r="FO28">
        <f>FN28*Z28</f>
        <v>0</v>
      </c>
      <c r="FP28" s="211">
        <f>SUM(FF28,FH28,FJ28,FL28,FN28)</f>
        <v>67</v>
      </c>
      <c r="FQ28">
        <f>DP28+EB28+EL28</f>
        <v>77.951999999999984</v>
      </c>
      <c r="FR28" s="3">
        <f>FP28-FQ28</f>
        <v>-10.951999999999984</v>
      </c>
      <c r="FS28" s="19">
        <f>FP28*Z28</f>
        <v>135.34</v>
      </c>
      <c r="FT28" s="19">
        <f>FQ28*Z28</f>
        <v>157.46303999999998</v>
      </c>
      <c r="FU28" s="3">
        <f>FR28*Z28</f>
        <v>-22.123039999999968</v>
      </c>
      <c r="FW28">
        <f>CW28</f>
        <v>7</v>
      </c>
      <c r="FX28">
        <f>FW28*Z28</f>
        <v>14.14</v>
      </c>
      <c r="FY28">
        <f>IX28+MB28</f>
        <v>9.743999999999998</v>
      </c>
      <c r="FZ28">
        <f>FY28*Z28</f>
        <v>19.682879999999997</v>
      </c>
      <c r="GA28">
        <f>FW28-FY28</f>
        <v>-2.743999999999998</v>
      </c>
      <c r="GB28">
        <f>GA28*Z28</f>
        <v>-5.5428799999999958</v>
      </c>
      <c r="GD28">
        <f>DE28</f>
        <v>27</v>
      </c>
      <c r="GE28">
        <f>GD28*Z28</f>
        <v>54.54</v>
      </c>
      <c r="GF28">
        <f>JE28+MH28</f>
        <v>62.639999999999993</v>
      </c>
      <c r="GG28">
        <f>GF28*Z28</f>
        <v>126.53279999999999</v>
      </c>
      <c r="GH28">
        <f>GD28-GF28</f>
        <v>-35.639999999999993</v>
      </c>
      <c r="GI28">
        <f>GH28*Z28</f>
        <v>-71.992799999999988</v>
      </c>
      <c r="GK28">
        <f>AA28</f>
        <v>4</v>
      </c>
      <c r="GL28" s="211">
        <f>FF28+FH28+FN28</f>
        <v>52</v>
      </c>
      <c r="GM28" s="211" t="str">
        <f>IF(R28=1,"",IF(GK28=1,GL28,""))</f>
        <v/>
      </c>
      <c r="GN28" s="211" t="str">
        <f>IF(R28=1,"",IF(GK28=2,GL28,""))</f>
        <v/>
      </c>
      <c r="GO28" s="211" t="str">
        <f>IF(R28=1,"",IF(GK28=3,GL28,""))</f>
        <v/>
      </c>
      <c r="GP28" s="211">
        <f>IF(R28=1,"",IF(GK28=4,GL28,""))</f>
        <v>52</v>
      </c>
      <c r="GQ28" s="149">
        <f>IF(OR(R28=1,VLOOKUP(R28,Afgr,Data!$BV$3)=1,VLOOKUP(R28,Afgr,Data!$BW$3)=1),0,IF(GK28=1,Nniveau1,IF(GK28=2,Nniveau2,IF(GK28=3,Nniveau3,IF(GK28=4,Nniveau4,GL28)))))</f>
        <v>46.222222222222221</v>
      </c>
      <c r="GR28" s="222">
        <v>0.32550000000000001</v>
      </c>
      <c r="GS28" s="6">
        <v>0</v>
      </c>
      <c r="GT28" s="149">
        <f>CC28+CM28</f>
        <v>52</v>
      </c>
      <c r="GU28" s="6">
        <f>$FN28</f>
        <v>0</v>
      </c>
      <c r="GV28" s="222">
        <v>0.25280000000000002</v>
      </c>
      <c r="GW28">
        <f>CO28</f>
        <v>0</v>
      </c>
      <c r="GX28" s="222">
        <v>0.376</v>
      </c>
      <c r="GY28" s="149">
        <f>CD28+CN28</f>
        <v>0</v>
      </c>
      <c r="GZ28" s="222">
        <f>IF(B28&gt;3,0.3539,1.0749)</f>
        <v>0.35389999999999999</v>
      </c>
      <c r="HA28" s="11">
        <f>$FQ28</f>
        <v>77.951999999999984</v>
      </c>
      <c r="HB28" s="222">
        <v>0.19359999999999999</v>
      </c>
      <c r="HC28" s="222">
        <f>VLOOKUP($R28,Afgr,Data!$DM$3)</f>
        <v>7</v>
      </c>
      <c r="HD28" s="24">
        <f>IF($HC28&gt;1,0,(VLOOKUP($X28,Afgr,Data!$DP$3)+IF(VLOOKUP($X28,Afgr,Data!$DP$3)=0,VLOOKUP($T28,Efgr,Data!$BI$53,0))))+IF(AND($HC28=7,VLOOKUP($X28,Afgr,Data!$DQ$3)=-2),-2,0)+IF(AND($HC28=6,VLOOKUP($T28,Efgr,Data!$BI$53)=2),8,0)</f>
        <v>0</v>
      </c>
      <c r="HE28" s="6">
        <f>VLOOKUP(SUM(HC28:HD28),Nlesafgr,3)</f>
        <v>-165.7</v>
      </c>
      <c r="HF28" s="7">
        <f>VLOOKUP($O28,Afgr,Data!$DN$3)</f>
        <v>4</v>
      </c>
      <c r="HG28" s="24">
        <f>IF(HF28&gt;1,0,VLOOKUP($R28,Afgr,Data!$DO$3)+IF(VLOOKUP($R28,Afgr,Data!$DO$3)=1,0,VLOOKUP($P28,Efgr,Data!$BJ$53)))</f>
        <v>0</v>
      </c>
      <c r="HH28" s="6">
        <f>VLOOKUP(SUM(HF28:HG28),Nlesforfrugt,3)</f>
        <v>34.700000000000003</v>
      </c>
      <c r="HI28" s="222">
        <f>GR28*GQ28+GV28*(GT28+GU28)+GX28*GW28+GZ28*GY28-HB28*HA28+HE28+HH28</f>
        <v>-117.90057386666665</v>
      </c>
      <c r="HJ28" s="222">
        <f>Nlesafskaering</f>
        <v>59.6</v>
      </c>
      <c r="HK28" s="222">
        <f>Teknologi1</f>
        <v>2455</v>
      </c>
      <c r="HL28" s="6">
        <v>2001</v>
      </c>
      <c r="HM28" s="222">
        <f>Teknologi2</f>
        <v>1962.2</v>
      </c>
      <c r="HN28" s="222">
        <f>Tandel</f>
        <v>0.54659999999999997</v>
      </c>
      <c r="HO28" s="222">
        <f>IF(OR(HI28&gt;0,HI28=0),HJ28+HK28/(HL28-HM28),HJ28+HK28/(HL28-HM28)+HN28*HI28)</f>
        <v>58.428742200768752</v>
      </c>
      <c r="HP28" s="222">
        <f>IF(HI28&gt;0,HI28,0.001)</f>
        <v>1E-3</v>
      </c>
      <c r="HQ28" s="222">
        <v>1.5020000000000001E-3</v>
      </c>
      <c r="HR28" s="24">
        <f>IF(R28=1,0,VLOOKUP(PostnrNbal,AfstromData,VLOOKUP($R28,Afgr,Data!$DL$3)+IF(Jordtype1&lt;7,Jordtype1,6),FALSE)-VLOOKUP(T28,Efgr,Data!$AA$53))</f>
        <v>272.32333333333298</v>
      </c>
      <c r="HS28" s="24">
        <f>IF(Nbal!GA28&lt;&gt;"",Nbal!GA28,Regn2!HR28)</f>
        <v>272.32333333333298</v>
      </c>
      <c r="HT28" s="222">
        <v>5.5400000000000002E-4</v>
      </c>
      <c r="HU28" s="24">
        <f>IF(R28=1,0,VLOOKUP(PostnrNbal,AfstromData,VLOOKUP($O28,Afgr,Data!$DL$3)+IF(B28&lt;7,B28,6),FALSE)-VLOOKUP(P28,Efgr,Data!$AA$53))</f>
        <v>272.32333333333298</v>
      </c>
      <c r="HV28" s="24">
        <f>IF(Nbal!FU28&lt;&gt;"",Nbal!FU28,Regn2!HU28)</f>
        <v>272.32333333333298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10.335664245017584</v>
      </c>
      <c r="ID28">
        <f>IC28*Z28</f>
        <v>20.878041774935522</v>
      </c>
      <c r="IE28">
        <f>IF(Nbal!GF28&lt;&gt;"",Nbal!GF28,RetentionNbal)</f>
        <v>65</v>
      </c>
      <c r="IF28">
        <f>IC28*(100-IE28)*0.01</f>
        <v>3.6174824857561543</v>
      </c>
      <c r="IG28">
        <f>IF28*Z28</f>
        <v>7.307314621227432</v>
      </c>
      <c r="IH28" s="2">
        <f>HS28*10000</f>
        <v>2723233.3333333298</v>
      </c>
      <c r="II28" s="2">
        <f>IH28*Z28</f>
        <v>5500931.3333333265</v>
      </c>
      <c r="IJ28">
        <f>IF(ISERROR(IC28*1000*1000/IH28),0,IC28*1000*1000/IH28)</f>
        <v>3.7953649136507819</v>
      </c>
      <c r="IL28">
        <f>AT28+AX28+BK28+BU28</f>
        <v>3600</v>
      </c>
      <c r="IO28">
        <f>VLOOKUP(R28,Afgr,Data!$AP$3)*UdsaedJust</f>
        <v>0</v>
      </c>
      <c r="IP28" s="3">
        <f>IF(Nbal!GN28&lt;&gt;"",Nbal!GN28,IO28)</f>
        <v>0</v>
      </c>
      <c r="IQ28" s="3">
        <f>IP28*Z28</f>
        <v>0</v>
      </c>
      <c r="IS28" s="3">
        <f>IF(HdgVaerdiNbal=1,(BZ28+CA28)*Npris,(BZ28+CA28+CJ28+CK28)*Npris)</f>
        <v>439.4</v>
      </c>
      <c r="IT28" s="3">
        <f>IS28*Z28</f>
        <v>887.58799999999997</v>
      </c>
      <c r="IV28">
        <f>VLOOKUP($R28,Afgr,Data!$BA$3)</f>
        <v>0</v>
      </c>
      <c r="IW28">
        <f>VLOOKUP($R28,Afgr,Data!$BB$3)</f>
        <v>0</v>
      </c>
      <c r="IX28">
        <f>$DS28+$EE28</f>
        <v>9.743999999999998</v>
      </c>
      <c r="IY28">
        <f>CT28</f>
        <v>0</v>
      </c>
      <c r="IZ28">
        <f>CQ28</f>
        <v>7</v>
      </c>
      <c r="JA28" s="3">
        <f>IF(HdgVaerdiNbal=1,(IZ28)*Ppris,(IY28+IZ28)*Ppris)</f>
        <v>97.3</v>
      </c>
      <c r="JB28" s="3">
        <f>JA28*Z28</f>
        <v>196.54599999999999</v>
      </c>
      <c r="JD28">
        <f>IF(AND(R28&gt;1,OR(Jordtype1=1,Jordtype1=3,Markvand1=2)),Kudvask,0)</f>
        <v>0</v>
      </c>
      <c r="JE28">
        <f>$DV28+$EH28</f>
        <v>62.639999999999993</v>
      </c>
      <c r="JF28">
        <f>DB28</f>
        <v>0</v>
      </c>
      <c r="JG28">
        <f>CY28</f>
        <v>27</v>
      </c>
      <c r="JH28" s="3">
        <f>IF(HdgVaerdiNbal=1,JG28*Kpris,(JF28+JG28)*Kpris)</f>
        <v>175.5</v>
      </c>
      <c r="JI28" s="3">
        <f>JH28*Z28</f>
        <v>354.51</v>
      </c>
      <c r="JK28">
        <f>IS28+JA28+JH28</f>
        <v>712.19999999999993</v>
      </c>
      <c r="JL28" s="3">
        <f>IF(Nbal!GT28&lt;&gt;"",Nbal!GT28,$JK28)</f>
        <v>712.19999999999993</v>
      </c>
      <c r="JM28" s="3">
        <f>JL28*Z28</f>
        <v>1438.6439999999998</v>
      </c>
      <c r="JO28">
        <f>VLOOKUP(R28,Afgr,Data!$AQ$3)*PlantevJust</f>
        <v>0</v>
      </c>
      <c r="JP28" s="3">
        <f>IF(Nbal!GZ28&lt;&gt;"",Nbal!GZ28,JO28)</f>
        <v>0</v>
      </c>
      <c r="JQ28" s="3">
        <f>JP28*Z28</f>
        <v>0</v>
      </c>
      <c r="JS28">
        <f>VLOOKUP(R28,Afgr,Data!$AR$3)+AM28*VLOOKUP(R28,Afgr,Data!$BH$3)</f>
        <v>0</v>
      </c>
      <c r="JT28" s="3">
        <f>IF(Nbal!HF28&lt;&gt;"",Nbal!HF28,JS28)</f>
        <v>0</v>
      </c>
      <c r="JU28">
        <f>JT28*Z28</f>
        <v>0</v>
      </c>
      <c r="JW28">
        <f>IP28+JL28+JP28+JT28</f>
        <v>712.19999999999993</v>
      </c>
      <c r="JY28">
        <f>IF(VLOOKUP(R28,Afgr,Data!$BY$3)&gt;0,Data!$K$259*J28,0)</f>
        <v>0</v>
      </c>
      <c r="JZ28">
        <f>IF(VLOOKUP(R28,Afgr,Data!$BZ$3)&gt;0,Data!$K$260*J28,0)</f>
        <v>0</v>
      </c>
      <c r="KA28">
        <f>(JY28+JZ28)*MaskJust</f>
        <v>0</v>
      </c>
      <c r="KB28" s="3">
        <f>IF(Nbal!HL28&lt;&gt;"",Nbal!HL28,KA28)</f>
        <v>0</v>
      </c>
      <c r="KC28" s="3">
        <f>KB28*Z28</f>
        <v>0</v>
      </c>
      <c r="KE28">
        <f>IF(VLOOKUP(R28,Afgr,Data!$CA$3)&gt;0,VLOOKUP(R28,Afgr,Data!$CA$3)*Data!$K$261*K28,0)</f>
        <v>0</v>
      </c>
      <c r="KF28">
        <f>IF(VLOOKUP(R28,Afgr,Data!$CC$3)&gt;0,Data!$K$262*K28,0)</f>
        <v>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0</v>
      </c>
      <c r="KM28" s="3">
        <f>IF(Nbal!HR28&lt;&gt;"",Nbal!HR28,KL28)</f>
        <v>0</v>
      </c>
      <c r="KN28" s="3">
        <f>KM28*Z28</f>
        <v>0</v>
      </c>
      <c r="KP28">
        <f>IF(VLOOKUP(R28,Afgr,Data!$CJ$3)&gt;0,VLOOKUP(R28,Afgr,Data!$CJ$3)*Data!$K$268*K28,0)*MaskJust</f>
        <v>280</v>
      </c>
      <c r="KQ28" s="3">
        <f>IF(Nbal!HX28&lt;&gt;"",Nbal!HX28,KP28)</f>
        <v>280</v>
      </c>
      <c r="KR28" s="3">
        <f>KQ28*Z28</f>
        <v>565.6</v>
      </c>
      <c r="KT28">
        <f>IF(VLOOKUP(R28,Afgr,Data!$CI$3)&gt;0,VLOOKUP(R28,Afgr,Data!$CI$3)*Data!$K$269,0)*MaskJust</f>
        <v>0</v>
      </c>
      <c r="KU28" s="3">
        <f>IF(Nbal!ID28&lt;&gt;"",Nbal!ID28,KT28)</f>
        <v>0</v>
      </c>
      <c r="KV28" s="3">
        <f>KU28*Z28</f>
        <v>0</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0</v>
      </c>
      <c r="LE28">
        <f>IF(VLOOKUP($R28,Afgr,Data!$CK$3)&gt;0,IF(AND($S28=2,$BA28&gt;0),Data!$K$271,0),0)</f>
        <v>0</v>
      </c>
      <c r="LF28">
        <f>IF(VLOOKUP($R28,Afgr,Data!$CK$3)&gt;0,(AM28/VLOOKUP($R28,Afgr,Data!$CK$3))*VLOOKUP($R28,Afgr,Data!$CO$3)*VLOOKUP($R28,Afgr,Data!$CN$3),0)</f>
        <v>0</v>
      </c>
      <c r="LG28">
        <f>(LD28+LE28+LF28)*MaskJust</f>
        <v>0</v>
      </c>
      <c r="LH28" s="3">
        <f>IF(Nbal!IV28&lt;&gt;"",Nbal!IV28,LG28)</f>
        <v>0</v>
      </c>
      <c r="LI28" s="3">
        <f>LH28*Z28</f>
        <v>0</v>
      </c>
      <c r="LJ28" s="3"/>
      <c r="LK28">
        <f>IF(AND($S28=1,VLOOKUP($R28,Afgr,Data!$CP$3)&gt;0),((1+$BC28/VLOOKUP($R28,Afgr,Data!$CP$3))/2)*VLOOKUP($R28,Afgr,Data!$CQ$3),0)</f>
        <v>0</v>
      </c>
      <c r="LL28">
        <f>IF(AND($S28=1,VLOOKUP($R28,Afgr,Data!$CP$3)&gt;0),($BC28/VLOOKUP($R28,Afgr,Data!$CP$3))*VLOOKUP($R28,Afgr,Data!$CR$3),0)</f>
        <v>0</v>
      </c>
      <c r="LM28">
        <f>(LK28+LL28)*MaskJust</f>
        <v>0</v>
      </c>
      <c r="LN28" s="3">
        <f>IF(Nbal!JB28&lt;&gt;"",Nbal!JB28,LM28)</f>
        <v>0</v>
      </c>
      <c r="LO28" s="3">
        <f>LN28*Z28</f>
        <v>0</v>
      </c>
      <c r="LQ28">
        <f>$AM28*VLOOKUP($R28,Afgr,Data!$CS$3)*IF($V28=1,VLOOKUP($R28,Afgr,Data!$CT$3),IF($V28=2,VLOOKUP($R28,Afgr,Data!$CU$3),0))</f>
        <v>0</v>
      </c>
      <c r="LR28" s="3">
        <f>IF(Nbal!JK28&lt;&gt;"",Nbal!JK28,LQ28)</f>
        <v>0</v>
      </c>
      <c r="LS28" s="3">
        <f>LR28*Z28</f>
        <v>0</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3600</v>
      </c>
      <c r="OE28">
        <f>JW28+MZ28</f>
        <v>712.19999999999993</v>
      </c>
      <c r="OF28">
        <f>OD28-OE28</f>
        <v>2887.8</v>
      </c>
      <c r="OG28">
        <f>OF28*Z28</f>
        <v>5833.3560000000007</v>
      </c>
      <c r="OJ28">
        <f>VLOOKUP($O28,Afgr,Data!$BP$3)+VLOOKUP($P28,Efgr,Data!$AM$53)</f>
        <v>0</v>
      </c>
      <c r="OK28" s="3">
        <f>OJ28*Z28</f>
        <v>0</v>
      </c>
      <c r="OL28">
        <f>VLOOKUP($R28,Afgr,Data!$BP$3)+VLOOKUP($T28,Efgr,Data!$AM$53)</f>
        <v>0</v>
      </c>
      <c r="OM28" s="3">
        <f>OL28*Z28</f>
        <v>0</v>
      </c>
      <c r="OO28">
        <f>VLOOKUP($P28,Efgr,Data!$AN$53)</f>
        <v>0</v>
      </c>
      <c r="OP28">
        <f>VLOOKUP($O28,Afgr,Data!$BQ$3)</f>
        <v>0</v>
      </c>
      <c r="OQ28">
        <f>VLOOKUP($R28,Afgr,Data!$BR$3)</f>
        <v>0</v>
      </c>
      <c r="OR28">
        <f>OO28*OP28*OQ28</f>
        <v>0</v>
      </c>
      <c r="OS28" s="3">
        <f>OR28*Z28</f>
        <v>0</v>
      </c>
      <c r="OT28" s="3">
        <f>IF(Q28,1,0)*OS28</f>
        <v>0</v>
      </c>
      <c r="OV28">
        <f>VLOOKUP($T28,Efgr,Data!$AN$53)</f>
        <v>0</v>
      </c>
      <c r="OW28">
        <f>VLOOKUP($R28,Afgr,Data!$BQ$3)</f>
        <v>0</v>
      </c>
      <c r="OX28">
        <f>VLOOKUP($X28,Afgr,Data!$BR$3)</f>
        <v>0</v>
      </c>
      <c r="OY28">
        <f>OV28*OW28*OX28</f>
        <v>0</v>
      </c>
      <c r="OZ28" s="3">
        <f>OY28*Z28</f>
        <v>0</v>
      </c>
      <c r="PB28">
        <f>VLOOKUP($T28,Efgr,Data!$AO$53)</f>
        <v>0</v>
      </c>
      <c r="PC28">
        <f>VLOOKUP($O28,Afgr,Data!$BQ$3)</f>
        <v>0</v>
      </c>
      <c r="PD28">
        <f>VLOOKUP($R28,Afgr,Data!$BS$3)</f>
        <v>0</v>
      </c>
      <c r="PE28" s="3">
        <f>PB28*PC28*PD28*$Z28</f>
        <v>0</v>
      </c>
      <c r="PG28">
        <f>VLOOKUP($T28,Efgr,Data!$AO$53)</f>
        <v>0</v>
      </c>
      <c r="PH28">
        <f>VLOOKUP($R28,Afgr,Data!$BQ$3)</f>
        <v>0</v>
      </c>
      <c r="PI28">
        <f>VLOOKUP($X28,Afgr,Data!$BS$3)</f>
        <v>0</v>
      </c>
      <c r="PJ28" s="3">
        <f>PG28*PH28*PI28*$Z28</f>
        <v>0</v>
      </c>
      <c r="PK28" s="3"/>
      <c r="PL28" s="3">
        <f>VLOOKUP($O28,Afgr,Data!$BU$3)</f>
        <v>0</v>
      </c>
      <c r="PM28" s="3">
        <f>PL28*Z28</f>
        <v>0</v>
      </c>
      <c r="PN28" s="3">
        <f>VLOOKUP($R28,Afgr,Data!$BU$3)</f>
        <v>0</v>
      </c>
      <c r="PO28" s="3">
        <f>PN28*Z28</f>
        <v>0</v>
      </c>
      <c r="PQ28">
        <f>VLOOKUP(R28,Afgr,Data!$BX$3)+VLOOKUP(T28,Efgr,Data!$AQ$53)</f>
        <v>1</v>
      </c>
      <c r="PR28">
        <f>IF(PQ28&gt;0,Z28,0)</f>
        <v>2.02</v>
      </c>
      <c r="PT28">
        <f>VLOOKUP($O28,Afgr,Data!$BT$3)</f>
        <v>1</v>
      </c>
      <c r="PU28" s="3">
        <f>PT28*Z28</f>
        <v>2.02</v>
      </c>
      <c r="PV28">
        <f>VLOOKUP($R28,Afgr,Data!$BT$3)</f>
        <v>1</v>
      </c>
      <c r="PW28" s="3">
        <f>PV28*Z28</f>
        <v>2.02</v>
      </c>
      <c r="PY28">
        <f>VLOOKUP($R28,Afgr,Data!$BV$3)</f>
        <v>0</v>
      </c>
      <c r="PZ28">
        <f>PY28*Z28</f>
        <v>0</v>
      </c>
      <c r="QB28">
        <f>VLOOKUP($R28,Afgr,Data!$BW$3)</f>
        <v>0</v>
      </c>
      <c r="QC28">
        <f>QB28*Z28</f>
        <v>0</v>
      </c>
      <c r="QE28">
        <f>AM28*IF(VLOOKUP($R28,Afgr,Data!$BJ$3)&gt;0,1,0)</f>
        <v>0</v>
      </c>
      <c r="QF28">
        <f>QE28*Z28</f>
        <v>0</v>
      </c>
      <c r="QH28">
        <f>AM28*VLOOKUP(R28,Afgr,Data!$BK$3)</f>
        <v>0</v>
      </c>
      <c r="QI28">
        <f>Z28*QH28</f>
        <v>0</v>
      </c>
      <c r="QJ28">
        <f>$AM28*VLOOKUP($R28,Afgr,Data!$BL$3)+$BR28*VLOOKUP($T28,Efgr,Data!$AP$53)</f>
        <v>3000</v>
      </c>
      <c r="QK28">
        <f>QJ28*Z28</f>
        <v>6060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0</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2.08</v>
      </c>
      <c r="RJ28">
        <f>((CJ28+CK28+CL28+Regn2!CO28*0.7)-(RR28+RT28))*VLOOKUP(B28,Jordtype,Data!$AE$112+DenitNr-1)</f>
        <v>0</v>
      </c>
      <c r="RK28">
        <f>0*VLOOKUP(B28,Jordtype,Data!$AE$112+DenitNr-1)</f>
        <v>0</v>
      </c>
      <c r="RL28">
        <f>Regn2!FD28*VLOOKUP(B28,Jordtype,Data!$AH$112+DenitNr-1)</f>
        <v>0</v>
      </c>
      <c r="RM28" s="3">
        <f>RH28+RI28+RJ28+RK28+RL28</f>
        <v>9.33</v>
      </c>
      <c r="RO28">
        <v>2</v>
      </c>
      <c r="RP28">
        <f>(FF28)*RO28*0.01</f>
        <v>1.04</v>
      </c>
      <c r="RQ28">
        <v>7</v>
      </c>
      <c r="RR28">
        <f>CE28*RQ28*0.01</f>
        <v>0</v>
      </c>
      <c r="RS28">
        <v>7</v>
      </c>
      <c r="RT28">
        <f>(Regn2!CF28+Regn2!CG28)*RS28*0.01</f>
        <v>0</v>
      </c>
      <c r="RW28">
        <f>VLOOKUP(R28,Afgr,Data!$EE$3)</f>
        <v>0</v>
      </c>
      <c r="RX28" s="3">
        <f>RP28+RR28+RT28+RV28+RW28</f>
        <v>1.04</v>
      </c>
    </row>
    <row r="29" spans="1:492" x14ac:dyDescent="0.25">
      <c r="GT29" s="12"/>
    </row>
    <row r="30" spans="1:492" x14ac:dyDescent="0.25">
      <c r="A30" s="214" t="str">
        <f>Nbal!B30</f>
        <v>11-0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40</v>
      </c>
      <c r="P30">
        <v>1</v>
      </c>
      <c r="Q30" t="b">
        <v>0</v>
      </c>
      <c r="R30">
        <v>40</v>
      </c>
      <c r="S30">
        <v>1</v>
      </c>
      <c r="T30">
        <v>1</v>
      </c>
      <c r="U30">
        <v>1</v>
      </c>
      <c r="V30">
        <v>1</v>
      </c>
      <c r="X30">
        <v>35</v>
      </c>
      <c r="Z30">
        <f>Nbal!AG30</f>
        <v>2.72</v>
      </c>
      <c r="AA30">
        <v>1</v>
      </c>
      <c r="AB30">
        <f>VLOOKUP($R30,Afgr,G30)</f>
        <v>110</v>
      </c>
      <c r="AC30">
        <f>VLOOKUP($O30,Afgr,Data!$AI$3)*VLOOKUP(R30,Afgr,Data!$AJ$3)</f>
        <v>0</v>
      </c>
      <c r="AD30">
        <f>IF($Q30,0,VLOOKUP($P30,Efgr,(Data!$W$53+$V$6-1)))</f>
        <v>0</v>
      </c>
      <c r="AE30">
        <f>AB30-AC30-AD30</f>
        <v>110</v>
      </c>
      <c r="AF30">
        <f>AE30*Z30</f>
        <v>299.20000000000005</v>
      </c>
      <c r="AH30">
        <f>VLOOKUP(R30,Afgr,D30)</f>
        <v>56</v>
      </c>
      <c r="AI30">
        <f>VLOOKUP(O30,Afgr,Data!$AL$3)*VLOOKUP(R30,Afgr,E30)</f>
        <v>0</v>
      </c>
      <c r="AJ30">
        <f>VLOOKUP(P30,Efgr,(Data!$Y$53+I30))</f>
        <v>0</v>
      </c>
      <c r="AK30">
        <f>AH30+AI30+AJ30</f>
        <v>56</v>
      </c>
      <c r="AL30">
        <f>AH30+AI30+AJ30</f>
        <v>56</v>
      </c>
      <c r="AM30" s="3">
        <f>IF(Nbal!CK30&lt;&gt;"",Nbal!CK30,AL30)</f>
        <v>56</v>
      </c>
      <c r="AN30">
        <f>AM30*Z30</f>
        <v>152.32000000000002</v>
      </c>
      <c r="AO30" t="str">
        <f>VLOOKUP(R30,Afgr,3)</f>
        <v>hkg</v>
      </c>
      <c r="AP30">
        <f>IF(AO30="FE",VLOOKUP($R30,Afgr,Data!$AV$3),0)</f>
        <v>0</v>
      </c>
      <c r="AR30">
        <f>VLOOKUP(R30,Afgr,4)</f>
        <v>145</v>
      </c>
      <c r="AS30" s="3">
        <f>IF(Nbal!CW30&lt;&gt;"",Nbal!CW30,AR30)</f>
        <v>145</v>
      </c>
      <c r="AT30" s="3">
        <f>AM30*AS30</f>
        <v>8120</v>
      </c>
      <c r="AU30" s="3">
        <f>AN30*AS30</f>
        <v>22086.400000000001</v>
      </c>
      <c r="AW30">
        <f>VLOOKUP(R30,Afgr,Data!$AN$3)</f>
        <v>0</v>
      </c>
      <c r="AX30" s="3">
        <f>IF(Nbal!DC30&lt;&gt;"",Nbal!DC30,AW30)</f>
        <v>0</v>
      </c>
      <c r="AY30" s="3">
        <f>AX30*Z30</f>
        <v>0</v>
      </c>
      <c r="BA30">
        <f>VLOOKUP(R30,Afgr,H30)</f>
        <v>3000</v>
      </c>
      <c r="BB30">
        <f>IF(ISERROR(BA30*AM30/AK30),0,(BA30*AM30/AK30))</f>
        <v>3000</v>
      </c>
      <c r="BC30" s="3">
        <f>IF(Nbal!DI30&lt;&gt;"",Nbal!DI30,BB30)</f>
        <v>3000</v>
      </c>
      <c r="BD30">
        <f>BC30*Z30</f>
        <v>8160.0000000000009</v>
      </c>
      <c r="BG30">
        <f>IF($S30=1,BC30,0)</f>
        <v>3000</v>
      </c>
      <c r="BH30">
        <f>IF($S30=1,BD30,0)</f>
        <v>8160.0000000000009</v>
      </c>
      <c r="BI30">
        <f>VLOOKUP(R30,Afgr,Data!$AM$3)</f>
        <v>0.5</v>
      </c>
      <c r="BJ30">
        <f>IF(Nbal!DR30&lt;&gt;"",Nbal!DR30,BI30)</f>
        <v>0.5</v>
      </c>
      <c r="BK30">
        <f>BG30*BJ30</f>
        <v>1500</v>
      </c>
      <c r="BL30">
        <f>BH30*BJ30</f>
        <v>4080.0000000000005</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27</v>
      </c>
      <c r="CB30" s="2">
        <f>Nbal!DZ30</f>
        <v>0</v>
      </c>
      <c r="CC30" s="211">
        <f>Nbal!AT30+Nbal!DZ30</f>
        <v>27</v>
      </c>
      <c r="CD30" s="211">
        <f>Nbal!AX30</f>
        <v>0</v>
      </c>
      <c r="CE30">
        <f>Nbal!BH30</f>
        <v>0</v>
      </c>
      <c r="CF30" s="211">
        <f>Nbal!BM30</f>
        <v>87</v>
      </c>
      <c r="CG30" s="2">
        <f>Nbal!EI30</f>
        <v>0</v>
      </c>
      <c r="CH30" s="211">
        <f>Nbal!BM30+Nbal!EI30</f>
        <v>87</v>
      </c>
      <c r="CI30" s="211">
        <f>Nbal!BW30</f>
        <v>0</v>
      </c>
      <c r="CJ30" s="211">
        <f>Nbal!BH30*Nbal!BJ30*0.01</f>
        <v>0</v>
      </c>
      <c r="CK30" s="211">
        <f>(Nbal!BM30*Nbal!BP30*0.01)</f>
        <v>63.945</v>
      </c>
      <c r="CL30" s="211">
        <f>(Nbal!EI30*Nbal!EL30*0.01)</f>
        <v>0</v>
      </c>
      <c r="CM30" s="211">
        <f>(Nbal!BM30*Nbal!BP30*0.01)+(Nbal!EI30*Nbal!EL30*0.01)</f>
        <v>63.945</v>
      </c>
      <c r="CN30" s="211">
        <f>Nbal!BW30*Nbal!BY30*0.01</f>
        <v>0</v>
      </c>
      <c r="CO30">
        <f>Nbal!BT30+Nbal!ER30</f>
        <v>0</v>
      </c>
      <c r="CQ30">
        <f>Nbal!BA30</f>
        <v>0</v>
      </c>
      <c r="CR30">
        <f>Nbal!EC30</f>
        <v>0</v>
      </c>
      <c r="CS30">
        <f>(CQ30+CR30)*Z30</f>
        <v>0</v>
      </c>
      <c r="CT30">
        <f>Nbal!CB30</f>
        <v>17</v>
      </c>
      <c r="CU30">
        <f>Nbal!EV30</f>
        <v>0</v>
      </c>
      <c r="CV30">
        <f>(CT30+CU30)*Z30</f>
        <v>46.24</v>
      </c>
      <c r="CW30">
        <f>Nbal!BA30+Nbal!CB30+Nbal!EC30+Nbal!EV30</f>
        <v>17</v>
      </c>
      <c r="CY30">
        <f>Nbal!BD30</f>
        <v>0</v>
      </c>
      <c r="CZ30">
        <f>Nbal!EF30</f>
        <v>0</v>
      </c>
      <c r="DA30">
        <f>(CY30+CZ30)*Z30</f>
        <v>0</v>
      </c>
      <c r="DB30">
        <f>Nbal!CE30</f>
        <v>47</v>
      </c>
      <c r="DC30">
        <f>Nbal!EY30</f>
        <v>0</v>
      </c>
      <c r="DD30">
        <f>(DB30+DC30)*Z30</f>
        <v>127.84</v>
      </c>
      <c r="DE30">
        <f>Nbal!BD30+Nbal!CE30+Nbal!EF30+Nbal!EY30</f>
        <v>47</v>
      </c>
      <c r="DG30">
        <f>VLOOKUP($R30,Afgr,Data!$AW$3)</f>
        <v>11.1875</v>
      </c>
      <c r="DH30">
        <f>IF($AO30="FE",$AM30*$AP30*$DG30*0.01,$AM30*100*$DM30*0.01*$DG30*0.01)</f>
        <v>532.52499999999998</v>
      </c>
      <c r="DI30">
        <f>IF(VLOOKUP(R30,Afgr,Data!$BO$3)=1,DH30,0)*Z30</f>
        <v>1448.4680000000001</v>
      </c>
      <c r="DJ30" s="12">
        <f>(BZ30+CC30+CJ30-AE30)*VLOOKUP($R30,Afgr,Data!$AX$3)</f>
        <v>-1.6600000000000001</v>
      </c>
      <c r="DK30">
        <f>DG30+DJ30</f>
        <v>9.5274999999999999</v>
      </c>
      <c r="DL30">
        <f>IF(Nbal!CQ30&lt;&gt;"",Nbal!CQ30,DK30)</f>
        <v>9.5274999999999999</v>
      </c>
      <c r="DM30">
        <f>VLOOKUP(R30,Afgr,Data!$AT$3)</f>
        <v>85</v>
      </c>
      <c r="DN30">
        <f>IF($AO30="FE",$AM30*$AP30*$DL30*0.01,$AM30*100*$DM30*0.01*DL30*0.01)</f>
        <v>453.50900000000001</v>
      </c>
      <c r="DO30">
        <f>IF(VLOOKUP(R30,Afgr,Data!$BO$3)=1,DN30,0)*Z30</f>
        <v>1233.54448</v>
      </c>
      <c r="DP30">
        <f>IF(ISERROR(DN30/VLOOKUP(R30,Afgr,Data!$AY$3)),0,DN30/VLOOKUP(R30,Afgr,Data!$AY$3))</f>
        <v>72.561440000000005</v>
      </c>
      <c r="DQ30">
        <f>DP30*Z30</f>
        <v>197.36711680000002</v>
      </c>
      <c r="DS30">
        <f>IF($AO30="FE",$AM30*$AP30*VLOOKUP($R30,Afgr,Data!$BC$3)*0.001,$AM30*100*$DM30*0.01*VLOOKUP($R30,Afgr,Data!$BC$3)*0.001)</f>
        <v>18.088000000000001</v>
      </c>
      <c r="DT30">
        <f>DS30*Z30</f>
        <v>49.199360000000006</v>
      </c>
      <c r="DV30">
        <f>IF($AO30="FE",$AM30*$AP30*VLOOKUP($R30,Afgr,Data!$BF$3)*0.001,$AM30*100*$DM30*0.01*VLOOKUP($R30,Afgr,Data!$BF$3)*0.001)</f>
        <v>22.372</v>
      </c>
      <c r="DW30">
        <f>DV30*Z30</f>
        <v>60.851840000000003</v>
      </c>
      <c r="DY30">
        <f>IF(ISERROR(VLOOKUP(R30,Afgr,Data!$AZ$3)*DL30/DG30),0,VLOOKUP(R30,Afgr,Data!$AZ$3)*DL30/DG30)</f>
        <v>3.4064804469273744</v>
      </c>
      <c r="DZ30">
        <f>VLOOKUP(R30,Afgr,Data!$AU$3)</f>
        <v>85</v>
      </c>
      <c r="EA30">
        <f>IF($S30=1,$BC30*$DZ30*0.01*DY30*0.01,0)</f>
        <v>86.865251396648063</v>
      </c>
      <c r="EB30">
        <f>EA30/6.25</f>
        <v>13.898440223463689</v>
      </c>
      <c r="EC30">
        <f>EB30*Z30</f>
        <v>37.803757407821237</v>
      </c>
      <c r="EE30">
        <f>IF($S30=1,$BC30*$DZ30*0.01*VLOOKUP($R30,Afgr,Data!$BD$3)*0.001,0)</f>
        <v>2.2949999999999999</v>
      </c>
      <c r="EF30">
        <f>EE30*Z30</f>
        <v>6.2423999999999999</v>
      </c>
      <c r="EH30">
        <f>IF($S30=1,$BC30*$DZ30*0.01*VLOOKUP($R30,Afgr,Data!$BG$3)*0.001,0)</f>
        <v>30.6</v>
      </c>
      <c r="EI30">
        <f>EH30*Z30</f>
        <v>83.232000000000014</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90.944999999999993</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27</v>
      </c>
      <c r="FG30" s="211">
        <f>FF30*Z30</f>
        <v>73.440000000000012</v>
      </c>
      <c r="FH30" s="211">
        <f>CE30+CH30+CO30</f>
        <v>87</v>
      </c>
      <c r="FI30" s="211">
        <f>FH30*Z30</f>
        <v>236.64000000000001</v>
      </c>
      <c r="FJ30">
        <f>VLOOKUP($R30,Afgr,Data!$DK$3)*VLOOKUP($R30,Afgr,Data!$AT$3)*0.01*VLOOKUP($R30,Afgr,Data!$AW$3)*0.01/6.25</f>
        <v>2.4344000000000001</v>
      </c>
      <c r="FK30">
        <f>FJ30*Z30</f>
        <v>6.6215680000000008</v>
      </c>
      <c r="FL30" s="4">
        <f>IF(R30&gt;1,Deposition,0)</f>
        <v>15</v>
      </c>
      <c r="FM30" s="4">
        <f>FL30*Z30</f>
        <v>40.800000000000004</v>
      </c>
      <c r="FN30">
        <f>FC30</f>
        <v>0</v>
      </c>
      <c r="FO30">
        <f>FN30*Z30</f>
        <v>0</v>
      </c>
      <c r="FP30" s="211">
        <f>SUM(FF30,FH30,FJ30,FL30,FN30)</f>
        <v>131.43439999999998</v>
      </c>
      <c r="FQ30">
        <f>DP30+EB30+EL30</f>
        <v>86.459880223463699</v>
      </c>
      <c r="FR30" s="3">
        <f>FP30-FQ30</f>
        <v>44.974519776536283</v>
      </c>
      <c r="FS30" s="19">
        <f>FP30*Z30</f>
        <v>357.50156799999996</v>
      </c>
      <c r="FT30" s="19">
        <f>FQ30*Z30</f>
        <v>235.17087420782127</v>
      </c>
      <c r="FU30" s="3">
        <f>FR30*Z30</f>
        <v>122.33069379217869</v>
      </c>
      <c r="FW30">
        <f>CW30</f>
        <v>17</v>
      </c>
      <c r="FX30">
        <f>FW30*Z30</f>
        <v>46.24</v>
      </c>
      <c r="FY30">
        <f>IX30+MB30</f>
        <v>20.383000000000003</v>
      </c>
      <c r="FZ30">
        <f>FY30*Z30</f>
        <v>55.441760000000009</v>
      </c>
      <c r="GA30">
        <f>FW30-FY30</f>
        <v>-3.3830000000000027</v>
      </c>
      <c r="GB30">
        <f>GA30*Z30</f>
        <v>-9.2017600000000073</v>
      </c>
      <c r="GD30">
        <f>DE30</f>
        <v>47</v>
      </c>
      <c r="GE30">
        <f>GD30*Z30</f>
        <v>127.84</v>
      </c>
      <c r="GF30">
        <f>JE30+MH30</f>
        <v>52.972000000000001</v>
      </c>
      <c r="GG30">
        <f>GF30*Z30</f>
        <v>144.08384000000001</v>
      </c>
      <c r="GH30">
        <f>GD30-GF30</f>
        <v>-5.9720000000000013</v>
      </c>
      <c r="GI30">
        <f>GH30*Z30</f>
        <v>-16.243840000000006</v>
      </c>
      <c r="GK30">
        <f>AA30</f>
        <v>1</v>
      </c>
      <c r="GL30" s="211">
        <f>FF30+FH30+FN30</f>
        <v>114</v>
      </c>
      <c r="GM30" s="211">
        <f>IF(R30=1,"",IF(GK30=1,GL30,""))</f>
        <v>114</v>
      </c>
      <c r="GN30" s="211" t="str">
        <f>IF(R30=1,"",IF(GK30=2,GL30,""))</f>
        <v/>
      </c>
      <c r="GO30" s="211" t="str">
        <f>IF(R30=1,"",IF(GK30=3,GL30,""))</f>
        <v/>
      </c>
      <c r="GP30" s="211" t="str">
        <f>IF(R30=1,"",IF(GK30=4,GL30,""))</f>
        <v/>
      </c>
      <c r="GQ30" s="149">
        <f>IF(OR(R30=1,VLOOKUP(R30,Afgr,Data!$BV$3)=1,VLOOKUP(R30,Afgr,Data!$BW$3)=1),0,IF(GK30=1,Nniveau1,IF(GK30=2,Nniveau2,IF(GK30=3,Nniveau3,IF(GK30=4,Nniveau4,GL30)))))</f>
        <v>197.65542292344122</v>
      </c>
      <c r="GR30" s="222">
        <v>0.32550000000000001</v>
      </c>
      <c r="GS30" s="6">
        <v>0</v>
      </c>
      <c r="GT30" s="149">
        <f>CC30+CM30</f>
        <v>90.944999999999993</v>
      </c>
      <c r="GU30" s="6">
        <f>$FN30</f>
        <v>0</v>
      </c>
      <c r="GV30" s="222">
        <v>0.25280000000000002</v>
      </c>
      <c r="GW30">
        <f>CO30</f>
        <v>0</v>
      </c>
      <c r="GX30" s="222">
        <v>0.376</v>
      </c>
      <c r="GY30" s="149">
        <f>CD30+CN30</f>
        <v>0</v>
      </c>
      <c r="GZ30" s="222">
        <f>IF(B30&gt;3,0.3539,1.0749)</f>
        <v>0.35389999999999999</v>
      </c>
      <c r="HA30" s="11">
        <f>$FQ30</f>
        <v>86.459880223463699</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62.989103350317528</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62.989103350317528</v>
      </c>
      <c r="HQ30" s="222">
        <v>1.5020000000000001E-3</v>
      </c>
      <c r="HR30" s="24">
        <f>IF(R30=1,0,VLOOKUP(PostnrNbal,AfstromData,VLOOKUP($R30,Afgr,Data!$DL$3)+IF(Jordtype1&lt;7,Jordtype1,6),FALSE)-VLOOKUP(T30,Efgr,Data!$AA$53))</f>
        <v>304.76666666666603</v>
      </c>
      <c r="HS30" s="24">
        <f>IF(Nbal!GA30&lt;&gt;"",Nbal!GA30,Regn2!HR30)</f>
        <v>304.76666666666603</v>
      </c>
      <c r="HT30" s="222">
        <v>5.5400000000000002E-4</v>
      </c>
      <c r="HU30" s="24">
        <f>IF(R30=1,0,VLOOKUP(PostnrNbal,AfstromData,VLOOKUP($O30,Afgr,Data!$DL$3)+IF(B30&lt;7,B30,6),FALSE)-VLOOKUP(P30,Efgr,Data!$AA$53))</f>
        <v>304.76666666666603</v>
      </c>
      <c r="HV30" s="24">
        <f>IF(Nbal!FU30&lt;&gt;"",Nbal!FU30,Regn2!HU30)</f>
        <v>304.76666666666603</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50.778538531193952</v>
      </c>
      <c r="ID30">
        <f>IC30*Z30</f>
        <v>138.11762480484757</v>
      </c>
      <c r="IE30">
        <f>IF(Nbal!GF30&lt;&gt;"",Nbal!GF30,RetentionNbal)</f>
        <v>65</v>
      </c>
      <c r="IF30">
        <f>IC30*(100-IE30)*0.01</f>
        <v>17.772488485917883</v>
      </c>
      <c r="IG30">
        <f>IF30*Z30</f>
        <v>48.341168681696644</v>
      </c>
      <c r="IH30" s="2">
        <f>HS30*10000</f>
        <v>3047666.6666666605</v>
      </c>
      <c r="II30" s="2">
        <f>IH30*Z30</f>
        <v>8289653.3333333172</v>
      </c>
      <c r="IJ30">
        <f>IF(ISERROR(IC30*1000*1000/IH30),0,IC30*1000*1000/IH30)</f>
        <v>16.66144762042898</v>
      </c>
      <c r="IL30">
        <f>AT30+AX30+BK30+BU30</f>
        <v>9620</v>
      </c>
      <c r="IO30">
        <f>VLOOKUP(R30,Afgr,Data!$AP$3)*UdsaedJust</f>
        <v>488</v>
      </c>
      <c r="IP30" s="3">
        <f>IF(Nbal!GN30&lt;&gt;"",Nbal!GN30,IO30)</f>
        <v>488</v>
      </c>
      <c r="IQ30" s="3">
        <f>IP30*Z30</f>
        <v>1327.3600000000001</v>
      </c>
      <c r="IS30" s="3">
        <f>IF(HdgVaerdiNbal=1,(BZ30+CA30)*Npris,(BZ30+CA30+CJ30+CK30)*Npris)</f>
        <v>228.14999999999998</v>
      </c>
      <c r="IT30" s="3">
        <f>IS30*Z30</f>
        <v>620.56799999999998</v>
      </c>
      <c r="IV30">
        <f>VLOOKUP($R30,Afgr,Data!$BA$3)</f>
        <v>0</v>
      </c>
      <c r="IW30">
        <f>VLOOKUP($R30,Afgr,Data!$BB$3)</f>
        <v>2.5</v>
      </c>
      <c r="IX30">
        <f>$DS30+$EE30</f>
        <v>20.383000000000003</v>
      </c>
      <c r="IY30">
        <f>CT30</f>
        <v>17</v>
      </c>
      <c r="IZ30">
        <f>CQ30</f>
        <v>0</v>
      </c>
      <c r="JA30" s="3">
        <f>IF(HdgVaerdiNbal=1,(IZ30)*Ppris,(IY30+IZ30)*Ppris)</f>
        <v>0</v>
      </c>
      <c r="JB30" s="3">
        <f>JA30*Z30</f>
        <v>0</v>
      </c>
      <c r="JD30">
        <f>IF(AND(R30&gt;1,OR(Jordtype1=1,Jordtype1=3,Markvand1=2)),Kudvask,0)</f>
        <v>0</v>
      </c>
      <c r="JE30">
        <f>$DV30+$EH30</f>
        <v>52.972000000000001</v>
      </c>
      <c r="JF30">
        <f>DB30</f>
        <v>47</v>
      </c>
      <c r="JG30">
        <f>CY30</f>
        <v>0</v>
      </c>
      <c r="JH30" s="3">
        <f>IF(HdgVaerdiNbal=1,JG30*Kpris,(JF30+JG30)*Kpris)</f>
        <v>0</v>
      </c>
      <c r="JI30" s="3">
        <f>JH30*Z30</f>
        <v>0</v>
      </c>
      <c r="JK30">
        <f>IS30+JA30+JH30</f>
        <v>228.14999999999998</v>
      </c>
      <c r="JL30" s="3">
        <f>IF(Nbal!GT30&lt;&gt;"",Nbal!GT30,$JK30)</f>
        <v>228.14999999999998</v>
      </c>
      <c r="JM30" s="3">
        <f>JL30*Z30</f>
        <v>620.56799999999998</v>
      </c>
      <c r="JO30">
        <f>VLOOKUP(R30,Afgr,Data!$AQ$3)*PlantevJust</f>
        <v>283</v>
      </c>
      <c r="JP30" s="3">
        <f>IF(Nbal!GZ30&lt;&gt;"",Nbal!GZ30,JO30)</f>
        <v>283</v>
      </c>
      <c r="JQ30" s="3">
        <f>JP30*Z30</f>
        <v>769.7600000000001</v>
      </c>
      <c r="JS30">
        <f>VLOOKUP(R30,Afgr,Data!$AR$3)+AM30*VLOOKUP(R30,Afgr,Data!$BH$3)</f>
        <v>0</v>
      </c>
      <c r="JT30" s="3">
        <f>IF(Nbal!HF30&lt;&gt;"",Nbal!HF30,JS30)</f>
        <v>0</v>
      </c>
      <c r="JU30">
        <f>JT30*Z30</f>
        <v>0</v>
      </c>
      <c r="JW30">
        <f>IP30+JL30+JP30+JT30</f>
        <v>999.15</v>
      </c>
      <c r="JY30">
        <f>IF(VLOOKUP(R30,Afgr,Data!$BY$3)&gt;0,Data!$K$259*J30,0)</f>
        <v>600</v>
      </c>
      <c r="JZ30">
        <f>IF(VLOOKUP(R30,Afgr,Data!$BZ$3)&gt;0,Data!$K$260*J30,0)</f>
        <v>0</v>
      </c>
      <c r="KA30">
        <f>(JY30+JZ30)*MaskJust</f>
        <v>600</v>
      </c>
      <c r="KB30" s="3">
        <f>IF(Nbal!HL30&lt;&gt;"",Nbal!HL30,KA30)</f>
        <v>600</v>
      </c>
      <c r="KC30" s="3">
        <f>KB30*Z30</f>
        <v>1632.0000000000002</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952.00000000000011</v>
      </c>
      <c r="KP30">
        <f>IF(VLOOKUP(R30,Afgr,Data!$CJ$3)&gt;0,VLOOKUP(R30,Afgr,Data!$CJ$3)*Data!$K$268*K30,0)*MaskJust</f>
        <v>140</v>
      </c>
      <c r="KQ30" s="3">
        <f>IF(Nbal!HX30&lt;&gt;"",Nbal!HX30,KP30)</f>
        <v>140</v>
      </c>
      <c r="KR30" s="3">
        <f>KQ30*Z30</f>
        <v>380.8</v>
      </c>
      <c r="KT30">
        <f>IF(VLOOKUP(R30,Afgr,Data!$CI$3)&gt;0,VLOOKUP(R30,Afgr,Data!$CI$3)*Data!$K$269,0)*MaskJust</f>
        <v>300</v>
      </c>
      <c r="KU30" s="3">
        <f>IF(Nbal!ID30&lt;&gt;"",Nbal!ID30,KT30)</f>
        <v>300</v>
      </c>
      <c r="KV30" s="3">
        <f>KU30*Z30</f>
        <v>816.00000000000011</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746.47058823529403</v>
      </c>
      <c r="LE30">
        <f>IF(VLOOKUP($R30,Afgr,Data!$CK$3)&gt;0,IF(AND($S30=2,$BA30&gt;0),Data!$K$271,0),0)</f>
        <v>0</v>
      </c>
      <c r="LF30">
        <f>IF(VLOOKUP($R30,Afgr,Data!$CK$3)&gt;0,(AM30/VLOOKUP($R30,Afgr,Data!$CK$3))*VLOOKUP($R30,Afgr,Data!$CO$3)*VLOOKUP($R30,Afgr,Data!$CN$3),0)</f>
        <v>214.11764705882354</v>
      </c>
      <c r="LG30">
        <f>(LD30+LE30+LF30)*MaskJust</f>
        <v>960.58823529411757</v>
      </c>
      <c r="LH30" s="3">
        <f>IF(Nbal!IV30&lt;&gt;"",Nbal!IV30,LG30)</f>
        <v>960.58823529411757</v>
      </c>
      <c r="LI30" s="3">
        <f>LH30*Z30</f>
        <v>2612.8000000000002</v>
      </c>
      <c r="LJ30" s="3"/>
      <c r="LK30">
        <f>IF(AND($S30=1,VLOOKUP($R30,Afgr,Data!$CP$3)&gt;0),((1+$BC30/VLOOKUP($R30,Afgr,Data!$CP$3))/2)*VLOOKUP($R30,Afgr,Data!$CQ$3),0)</f>
        <v>525</v>
      </c>
      <c r="LL30">
        <f>IF(AND($S30=1,VLOOKUP($R30,Afgr,Data!$CP$3)&gt;0),($BC30/VLOOKUP($R30,Afgr,Data!$CP$3))*VLOOKUP($R30,Afgr,Data!$CR$3),0)</f>
        <v>200</v>
      </c>
      <c r="LM30">
        <f>(LK30+LL30)*MaskJust</f>
        <v>725</v>
      </c>
      <c r="LN30" s="3">
        <f>IF(Nbal!JB30&lt;&gt;"",Nbal!JB30,LM30)</f>
        <v>725</v>
      </c>
      <c r="LO30" s="3">
        <f>LN30*Z30</f>
        <v>1972.0000000000002</v>
      </c>
      <c r="LQ30">
        <f>$AM30*VLOOKUP($R30,Afgr,Data!$CS$3)*IF($V30=1,VLOOKUP($R30,Afgr,Data!$CT$3),IF($V30=2,VLOOKUP($R30,Afgr,Data!$CU$3),0))</f>
        <v>517.44000000000005</v>
      </c>
      <c r="LR30" s="3">
        <f>IF(Nbal!JK30&lt;&gt;"",Nbal!JK30,LQ30)</f>
        <v>517.44000000000005</v>
      </c>
      <c r="LS30" s="3">
        <f>LR30*Z30</f>
        <v>1407.4368000000002</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9620</v>
      </c>
      <c r="OE30">
        <f>JW30+MZ30</f>
        <v>999.15</v>
      </c>
      <c r="OF30">
        <f>OD30-OE30</f>
        <v>8620.85</v>
      </c>
      <c r="OG30">
        <f>OF30*Z30</f>
        <v>23448.712000000003</v>
      </c>
      <c r="OJ30">
        <f>VLOOKUP($O30,Afgr,Data!$BP$3)+VLOOKUP($P30,Efgr,Data!$AM$53)</f>
        <v>1</v>
      </c>
      <c r="OK30" s="3">
        <f>OJ30*Z30</f>
        <v>2.72</v>
      </c>
      <c r="OL30">
        <f>VLOOKUP($R30,Afgr,Data!$BP$3)+VLOOKUP($T30,Efgr,Data!$AM$53)</f>
        <v>1</v>
      </c>
      <c r="OM30" s="3">
        <f>OL30*Z30</f>
        <v>2.72</v>
      </c>
      <c r="OO30">
        <f>VLOOKUP($P30,Efgr,Data!$AN$53)</f>
        <v>0</v>
      </c>
      <c r="OP30">
        <f>VLOOKUP($O30,Afgr,Data!$BQ$3)</f>
        <v>1</v>
      </c>
      <c r="OQ30">
        <f>VLOOKUP($R30,Afgr,Data!$BR$3)</f>
        <v>1</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0</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0</v>
      </c>
      <c r="PR30">
        <f>IF(PQ30&gt;0,Z30,0)</f>
        <v>0</v>
      </c>
      <c r="PT30">
        <f>VLOOKUP($O30,Afgr,Data!$BT$3)</f>
        <v>1</v>
      </c>
      <c r="PU30" s="3">
        <f>PT30*Z30</f>
        <v>2.72</v>
      </c>
      <c r="PV30">
        <f>VLOOKUP($R30,Afgr,Data!$BT$3)</f>
        <v>1</v>
      </c>
      <c r="PW30" s="3">
        <f>PV30*Z30</f>
        <v>2.72</v>
      </c>
      <c r="PY30">
        <f>VLOOKUP($R30,Afgr,Data!$BV$3)</f>
        <v>0</v>
      </c>
      <c r="PZ30">
        <f>PY30*Z30</f>
        <v>0</v>
      </c>
      <c r="QB30">
        <f>VLOOKUP($R30,Afgr,Data!$BW$3)</f>
        <v>0</v>
      </c>
      <c r="QC30">
        <f>QB30*Z30</f>
        <v>0</v>
      </c>
      <c r="QE30">
        <f>AM30*IF(VLOOKUP($R30,Afgr,Data!$BJ$3)&gt;0,1,0)</f>
        <v>56</v>
      </c>
      <c r="QF30">
        <f>QE30*Z30</f>
        <v>152.32000000000002</v>
      </c>
      <c r="QH30">
        <f>AM30*VLOOKUP(R30,Afgr,Data!$BK$3)</f>
        <v>5292</v>
      </c>
      <c r="QI30">
        <f>Z30*QH30</f>
        <v>14394.240000000002</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15536.640000000003</v>
      </c>
      <c r="QS30">
        <f>IF(VLOOKUP($R30,Afgr,Data!$DA$3)="Vinterbyg",$AN30,0)*VLOOKUP($R30,Afgr,Data!$BJ$3)</f>
        <v>0</v>
      </c>
      <c r="QT30">
        <f>IF(VLOOKUP($R30,Afgr,Data!$DA$3)="Havre",$AN30,0)*VLOOKUP($R30,Afgr,Data!$BJ$3)</f>
        <v>0</v>
      </c>
      <c r="QU30">
        <f>IF(VLOOKUP($R30,Afgr,Data!$DA$3)="Hvede",$AN30,0)*VLOOKUP($R30,Afgr,Data!$BJ$3)</f>
        <v>0</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1.08</v>
      </c>
      <c r="RJ30">
        <f>((CJ30+CK30+CL30+Regn2!CO30*0.7)-(RR30+RT30))*VLOOKUP(B30,Jordtype,Data!$AE$112+DenitNr-1)</f>
        <v>7.9550625000000013</v>
      </c>
      <c r="RK30">
        <f>0*VLOOKUP(B30,Jordtype,Data!$AE$112+DenitNr-1)</f>
        <v>0</v>
      </c>
      <c r="RL30">
        <f>Regn2!FD30*VLOOKUP(B30,Jordtype,Data!$AH$112+DenitNr-1)</f>
        <v>0</v>
      </c>
      <c r="RM30" s="3">
        <f>RH30+RI30+RJ30+RK30+RL30</f>
        <v>16.285062500000002</v>
      </c>
      <c r="RO30">
        <v>2</v>
      </c>
      <c r="RP30">
        <f>(FF30)*RO30*0.01</f>
        <v>0.54</v>
      </c>
      <c r="RQ30">
        <v>7</v>
      </c>
      <c r="RR30">
        <f>CE30*RQ30*0.01</f>
        <v>0</v>
      </c>
      <c r="RS30">
        <v>7</v>
      </c>
      <c r="RT30">
        <f>(Regn2!CF30+Regn2!CG30)*RS30*0.01</f>
        <v>6.09</v>
      </c>
      <c r="RW30">
        <f>VLOOKUP(R30,Afgr,Data!$EE$3)</f>
        <v>5</v>
      </c>
      <c r="RX30" s="3">
        <f>RP30+RR30+RT30+RV30+RW30</f>
        <v>11.629999999999999</v>
      </c>
    </row>
    <row r="31" spans="1:492" x14ac:dyDescent="0.25">
      <c r="GT31" s="12"/>
    </row>
    <row r="32" spans="1:492" x14ac:dyDescent="0.25">
      <c r="A32" s="214" t="str">
        <f>Nbal!B32</f>
        <v>12-0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40</v>
      </c>
      <c r="P32">
        <v>1</v>
      </c>
      <c r="Q32" t="b">
        <v>0</v>
      </c>
      <c r="R32">
        <v>40</v>
      </c>
      <c r="S32">
        <v>1</v>
      </c>
      <c r="T32">
        <v>1</v>
      </c>
      <c r="U32">
        <v>1</v>
      </c>
      <c r="V32">
        <v>1</v>
      </c>
      <c r="X32">
        <v>35</v>
      </c>
      <c r="Z32">
        <f>Nbal!AG32</f>
        <v>3.27</v>
      </c>
      <c r="AA32">
        <v>1</v>
      </c>
      <c r="AB32">
        <f>VLOOKUP($R32,Afgr,G32)</f>
        <v>110</v>
      </c>
      <c r="AC32">
        <f>VLOOKUP($O32,Afgr,Data!$AI$3)*VLOOKUP(R32,Afgr,Data!$AJ$3)</f>
        <v>0</v>
      </c>
      <c r="AD32">
        <f>IF($Q32,0,VLOOKUP($P32,Efgr,(Data!$W$53+$V$6-1)))</f>
        <v>0</v>
      </c>
      <c r="AE32">
        <f>AB32-AC32-AD32</f>
        <v>110</v>
      </c>
      <c r="AF32">
        <f>AE32*Z32</f>
        <v>359.7</v>
      </c>
      <c r="AH32">
        <f>VLOOKUP(R32,Afgr,D32)</f>
        <v>56</v>
      </c>
      <c r="AI32">
        <f>VLOOKUP(O32,Afgr,Data!$AL$3)*VLOOKUP(R32,Afgr,E32)</f>
        <v>0</v>
      </c>
      <c r="AJ32">
        <f>VLOOKUP(P32,Efgr,(Data!$Y$53+I32))</f>
        <v>0</v>
      </c>
      <c r="AK32">
        <f>AH32+AI32+AJ32</f>
        <v>56</v>
      </c>
      <c r="AL32">
        <f>AH32+AI32+AJ32</f>
        <v>56</v>
      </c>
      <c r="AM32" s="3">
        <f>IF(Nbal!CK32&lt;&gt;"",Nbal!CK32,AL32)</f>
        <v>56</v>
      </c>
      <c r="AN32">
        <f>AM32*Z32</f>
        <v>183.12</v>
      </c>
      <c r="AO32" t="str">
        <f>VLOOKUP(R32,Afgr,3)</f>
        <v>hkg</v>
      </c>
      <c r="AP32">
        <f>IF(AO32="FE",VLOOKUP($R32,Afgr,Data!$AV$3),0)</f>
        <v>0</v>
      </c>
      <c r="AR32">
        <f>VLOOKUP(R32,Afgr,4)</f>
        <v>145</v>
      </c>
      <c r="AS32" s="3">
        <f>IF(Nbal!CW32&lt;&gt;"",Nbal!CW32,AR32)</f>
        <v>145</v>
      </c>
      <c r="AT32" s="3">
        <f>AM32*AS32</f>
        <v>8120</v>
      </c>
      <c r="AU32" s="3">
        <f>AN32*AS32</f>
        <v>26552.400000000001</v>
      </c>
      <c r="AW32">
        <f>VLOOKUP(R32,Afgr,Data!$AN$3)</f>
        <v>0</v>
      </c>
      <c r="AX32" s="3">
        <f>IF(Nbal!DC32&lt;&gt;"",Nbal!DC32,AW32)</f>
        <v>0</v>
      </c>
      <c r="AY32" s="3">
        <f>AX32*Z32</f>
        <v>0</v>
      </c>
      <c r="BA32">
        <f>VLOOKUP(R32,Afgr,H32)</f>
        <v>3000</v>
      </c>
      <c r="BB32">
        <f>IF(ISERROR(BA32*AM32/AK32),0,(BA32*AM32/AK32))</f>
        <v>3000</v>
      </c>
      <c r="BC32" s="3">
        <f>IF(Nbal!DI32&lt;&gt;"",Nbal!DI32,BB32)</f>
        <v>3000</v>
      </c>
      <c r="BD32">
        <f>BC32*Z32</f>
        <v>9810</v>
      </c>
      <c r="BG32">
        <f>IF($S32=1,BC32,0)</f>
        <v>3000</v>
      </c>
      <c r="BH32">
        <f>IF($S32=1,BD32,0)</f>
        <v>9810</v>
      </c>
      <c r="BI32">
        <f>VLOOKUP(R32,Afgr,Data!$AM$3)</f>
        <v>0.5</v>
      </c>
      <c r="BJ32">
        <f>IF(Nbal!DR32&lt;&gt;"",Nbal!DR32,BI32)</f>
        <v>0.5</v>
      </c>
      <c r="BK32">
        <f>BG32*BJ32</f>
        <v>1500</v>
      </c>
      <c r="BL32">
        <f>BH32*BJ32</f>
        <v>4905</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27</v>
      </c>
      <c r="CB32" s="2">
        <f>Nbal!DZ32</f>
        <v>0</v>
      </c>
      <c r="CC32" s="211">
        <f>Nbal!AT32+Nbal!DZ32</f>
        <v>27</v>
      </c>
      <c r="CD32" s="211">
        <f>Nbal!AX32</f>
        <v>0</v>
      </c>
      <c r="CE32">
        <f>Nbal!BH32</f>
        <v>0</v>
      </c>
      <c r="CF32" s="211">
        <f>Nbal!BM32</f>
        <v>87</v>
      </c>
      <c r="CG32" s="2">
        <f>Nbal!EI32</f>
        <v>0</v>
      </c>
      <c r="CH32" s="211">
        <f>Nbal!BM32+Nbal!EI32</f>
        <v>87</v>
      </c>
      <c r="CI32" s="211">
        <f>Nbal!BW32</f>
        <v>0</v>
      </c>
      <c r="CJ32" s="211">
        <f>Nbal!BH32*Nbal!BJ32*0.01</f>
        <v>0</v>
      </c>
      <c r="CK32" s="211">
        <f>(Nbal!BM32*Nbal!BP32*0.01)</f>
        <v>63.945</v>
      </c>
      <c r="CL32" s="211">
        <f>(Nbal!EI32*Nbal!EL32*0.01)</f>
        <v>0</v>
      </c>
      <c r="CM32" s="211">
        <f>(Nbal!BM32*Nbal!BP32*0.01)+(Nbal!EI32*Nbal!EL32*0.01)</f>
        <v>63.945</v>
      </c>
      <c r="CN32" s="211">
        <f>Nbal!BW32*Nbal!BY32*0.01</f>
        <v>0</v>
      </c>
      <c r="CO32">
        <f>Nbal!BT32+Nbal!ER32</f>
        <v>0</v>
      </c>
      <c r="CQ32">
        <f>Nbal!BA32</f>
        <v>0</v>
      </c>
      <c r="CR32">
        <f>Nbal!EC32</f>
        <v>0</v>
      </c>
      <c r="CS32">
        <f>(CQ32+CR32)*Z32</f>
        <v>0</v>
      </c>
      <c r="CT32">
        <f>Nbal!CB32</f>
        <v>17</v>
      </c>
      <c r="CU32">
        <f>Nbal!EV32</f>
        <v>0</v>
      </c>
      <c r="CV32">
        <f>(CT32+CU32)*Z32</f>
        <v>55.59</v>
      </c>
      <c r="CW32">
        <f>Nbal!BA32+Nbal!CB32+Nbal!EC32+Nbal!EV32</f>
        <v>17</v>
      </c>
      <c r="CY32">
        <f>Nbal!BD32</f>
        <v>0</v>
      </c>
      <c r="CZ32">
        <f>Nbal!EF32</f>
        <v>0</v>
      </c>
      <c r="DA32">
        <f>(CY32+CZ32)*Z32</f>
        <v>0</v>
      </c>
      <c r="DB32">
        <f>Nbal!CE32</f>
        <v>47</v>
      </c>
      <c r="DC32">
        <f>Nbal!EY32</f>
        <v>0</v>
      </c>
      <c r="DD32">
        <f>(DB32+DC32)*Z32</f>
        <v>153.69</v>
      </c>
      <c r="DE32">
        <f>Nbal!BD32+Nbal!CE32+Nbal!EF32+Nbal!EY32</f>
        <v>47</v>
      </c>
      <c r="DG32">
        <f>VLOOKUP($R32,Afgr,Data!$AW$3)</f>
        <v>11.1875</v>
      </c>
      <c r="DH32">
        <f>IF($AO32="FE",$AM32*$AP32*$DG32*0.01,$AM32*100*$DM32*0.01*$DG32*0.01)</f>
        <v>532.52499999999998</v>
      </c>
      <c r="DI32">
        <f>IF(VLOOKUP(R32,Afgr,Data!$BO$3)=1,DH32,0)*Z32</f>
        <v>1741.3567499999999</v>
      </c>
      <c r="DJ32" s="12">
        <f>(BZ32+CC32+CJ32-AE32)*VLOOKUP($R32,Afgr,Data!$AX$3)</f>
        <v>-1.6600000000000001</v>
      </c>
      <c r="DK32">
        <f>DG32+DJ32</f>
        <v>9.5274999999999999</v>
      </c>
      <c r="DL32">
        <f>IF(Nbal!CQ32&lt;&gt;"",Nbal!CQ32,DK32)</f>
        <v>9.5274999999999999</v>
      </c>
      <c r="DM32">
        <f>VLOOKUP(R32,Afgr,Data!$AT$3)</f>
        <v>85</v>
      </c>
      <c r="DN32">
        <f>IF($AO32="FE",$AM32*$AP32*$DL32*0.01,$AM32*100*$DM32*0.01*DL32*0.01)</f>
        <v>453.50900000000001</v>
      </c>
      <c r="DO32">
        <f>IF(VLOOKUP(R32,Afgr,Data!$BO$3)=1,DN32,0)*Z32</f>
        <v>1482.97443</v>
      </c>
      <c r="DP32">
        <f>IF(ISERROR(DN32/VLOOKUP(R32,Afgr,Data!$AY$3)),0,DN32/VLOOKUP(R32,Afgr,Data!$AY$3))</f>
        <v>72.561440000000005</v>
      </c>
      <c r="DQ32">
        <f>DP32*Z32</f>
        <v>237.27590880000002</v>
      </c>
      <c r="DS32">
        <f>IF($AO32="FE",$AM32*$AP32*VLOOKUP($R32,Afgr,Data!$BC$3)*0.001,$AM32*100*$DM32*0.01*VLOOKUP($R32,Afgr,Data!$BC$3)*0.001)</f>
        <v>18.088000000000001</v>
      </c>
      <c r="DT32">
        <f>DS32*Z32</f>
        <v>59.147760000000005</v>
      </c>
      <c r="DV32">
        <f>IF($AO32="FE",$AM32*$AP32*VLOOKUP($R32,Afgr,Data!$BF$3)*0.001,$AM32*100*$DM32*0.01*VLOOKUP($R32,Afgr,Data!$BF$3)*0.001)</f>
        <v>22.372</v>
      </c>
      <c r="DW32">
        <f>DV32*Z32</f>
        <v>73.156440000000003</v>
      </c>
      <c r="DY32">
        <f>IF(ISERROR(VLOOKUP(R32,Afgr,Data!$AZ$3)*DL32/DG32),0,VLOOKUP(R32,Afgr,Data!$AZ$3)*DL32/DG32)</f>
        <v>3.4064804469273744</v>
      </c>
      <c r="DZ32">
        <f>VLOOKUP(R32,Afgr,Data!$AU$3)</f>
        <v>85</v>
      </c>
      <c r="EA32">
        <f>IF($S32=1,$BC32*$DZ32*0.01*DY32*0.01,0)</f>
        <v>86.865251396648063</v>
      </c>
      <c r="EB32">
        <f>EA32/6.25</f>
        <v>13.898440223463689</v>
      </c>
      <c r="EC32">
        <f>EB32*Z32</f>
        <v>45.447899530726261</v>
      </c>
      <c r="EE32">
        <f>IF($S32=1,$BC32*$DZ32*0.01*VLOOKUP($R32,Afgr,Data!$BD$3)*0.001,0)</f>
        <v>2.2949999999999999</v>
      </c>
      <c r="EF32">
        <f>EE32*Z32</f>
        <v>7.5046499999999998</v>
      </c>
      <c r="EH32">
        <f>IF($S32=1,$BC32*$DZ32*0.01*VLOOKUP($R32,Afgr,Data!$BG$3)*0.001,0)</f>
        <v>30.6</v>
      </c>
      <c r="EI32">
        <f>EH32*Z32</f>
        <v>100.06200000000001</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90.944999999999993</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27</v>
      </c>
      <c r="FG32" s="211">
        <f>FF32*Z32</f>
        <v>88.29</v>
      </c>
      <c r="FH32" s="211">
        <f>CE32+CH32+CO32</f>
        <v>87</v>
      </c>
      <c r="FI32" s="211">
        <f>FH32*Z32</f>
        <v>284.49</v>
      </c>
      <c r="FJ32">
        <f>VLOOKUP($R32,Afgr,Data!$DK$3)*VLOOKUP($R32,Afgr,Data!$AT$3)*0.01*VLOOKUP($R32,Afgr,Data!$AW$3)*0.01/6.25</f>
        <v>2.4344000000000001</v>
      </c>
      <c r="FK32">
        <f>FJ32*Z32</f>
        <v>7.9604880000000007</v>
      </c>
      <c r="FL32" s="4">
        <f>IF(R32&gt;1,Deposition,0)</f>
        <v>15</v>
      </c>
      <c r="FM32" s="4">
        <f>FL32*Z32</f>
        <v>49.05</v>
      </c>
      <c r="FN32">
        <f>FC32</f>
        <v>0</v>
      </c>
      <c r="FO32">
        <f>FN32*Z32</f>
        <v>0</v>
      </c>
      <c r="FP32" s="211">
        <f>SUM(FF32,FH32,FJ32,FL32,FN32)</f>
        <v>131.43439999999998</v>
      </c>
      <c r="FQ32">
        <f>DP32+EB32+EL32</f>
        <v>86.459880223463699</v>
      </c>
      <c r="FR32" s="3">
        <f>FP32-FQ32</f>
        <v>44.974519776536283</v>
      </c>
      <c r="FS32" s="19">
        <f>FP32*Z32</f>
        <v>429.79048799999993</v>
      </c>
      <c r="FT32" s="19">
        <f>FQ32*Z32</f>
        <v>282.72380833072629</v>
      </c>
      <c r="FU32" s="3">
        <f>FR32*Z32</f>
        <v>147.06667966927364</v>
      </c>
      <c r="FW32">
        <f>CW32</f>
        <v>17</v>
      </c>
      <c r="FX32">
        <f>FW32*Z32</f>
        <v>55.59</v>
      </c>
      <c r="FY32">
        <f>IX32+MB32</f>
        <v>20.383000000000003</v>
      </c>
      <c r="FZ32">
        <f>FY32*Z32</f>
        <v>66.652410000000003</v>
      </c>
      <c r="GA32">
        <f>FW32-FY32</f>
        <v>-3.3830000000000027</v>
      </c>
      <c r="GB32">
        <f>GA32*Z32</f>
        <v>-11.062410000000009</v>
      </c>
      <c r="GD32">
        <f>DE32</f>
        <v>47</v>
      </c>
      <c r="GE32">
        <f>GD32*Z32</f>
        <v>153.69</v>
      </c>
      <c r="GF32">
        <f>JE32+MH32</f>
        <v>52.972000000000001</v>
      </c>
      <c r="GG32">
        <f>GF32*Z32</f>
        <v>173.21844000000002</v>
      </c>
      <c r="GH32">
        <f>GD32-GF32</f>
        <v>-5.9720000000000013</v>
      </c>
      <c r="GI32">
        <f>GH32*Z32</f>
        <v>-19.528440000000003</v>
      </c>
      <c r="GK32">
        <f>AA32</f>
        <v>1</v>
      </c>
      <c r="GL32" s="211">
        <f>FF32+FH32+FN32</f>
        <v>114</v>
      </c>
      <c r="GM32" s="211">
        <f>IF(R32=1,"",IF(GK32=1,GL32,""))</f>
        <v>114</v>
      </c>
      <c r="GN32" s="211" t="str">
        <f>IF(R32=1,"",IF(GK32=2,GL32,""))</f>
        <v/>
      </c>
      <c r="GO32" s="211" t="str">
        <f>IF(R32=1,"",IF(GK32=3,GL32,""))</f>
        <v/>
      </c>
      <c r="GP32" s="211" t="str">
        <f>IF(R32=1,"",IF(GK32=4,GL32,""))</f>
        <v/>
      </c>
      <c r="GQ32" s="149">
        <f>IF(OR(R32=1,VLOOKUP(R32,Afgr,Data!$BV$3)=1,VLOOKUP(R32,Afgr,Data!$BW$3)=1),0,IF(GK32=1,Nniveau1,IF(GK32=2,Nniveau2,IF(GK32=3,Nniveau3,IF(GK32=4,Nniveau4,GL32)))))</f>
        <v>197.65542292344122</v>
      </c>
      <c r="GR32" s="222">
        <v>0.32550000000000001</v>
      </c>
      <c r="GS32" s="6">
        <v>0</v>
      </c>
      <c r="GT32" s="149">
        <f>CC32+CM32</f>
        <v>90.944999999999993</v>
      </c>
      <c r="GU32" s="6">
        <f>$FN32</f>
        <v>0</v>
      </c>
      <c r="GV32" s="222">
        <v>0.25280000000000002</v>
      </c>
      <c r="GW32">
        <f>CO32</f>
        <v>0</v>
      </c>
      <c r="GX32" s="222">
        <v>0.376</v>
      </c>
      <c r="GY32" s="149">
        <f>CD32+CN32</f>
        <v>0</v>
      </c>
      <c r="GZ32" s="222">
        <f>IF(B32&gt;3,0.3539,1.0749)</f>
        <v>0.35389999999999999</v>
      </c>
      <c r="HA32" s="11">
        <f>$FQ32</f>
        <v>86.459880223463699</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62.989103350317528</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62.989103350317528</v>
      </c>
      <c r="HQ32" s="222">
        <v>1.5020000000000001E-3</v>
      </c>
      <c r="HR32" s="24">
        <f>IF(R32=1,0,VLOOKUP(PostnrNbal,AfstromData,VLOOKUP($R32,Afgr,Data!$DL$3)+IF(Jordtype1&lt;7,Jordtype1,6),FALSE)-VLOOKUP(T32,Efgr,Data!$AA$53))</f>
        <v>304.76666666666603</v>
      </c>
      <c r="HS32" s="24">
        <f>IF(Nbal!GA32&lt;&gt;"",Nbal!GA32,Regn2!HR32)</f>
        <v>304.76666666666603</v>
      </c>
      <c r="HT32" s="222">
        <v>5.5400000000000002E-4</v>
      </c>
      <c r="HU32" s="24">
        <f>IF(R32=1,0,VLOOKUP(PostnrNbal,AfstromData,VLOOKUP($O32,Afgr,Data!$DL$3)+IF(B32&lt;7,B32,6),FALSE)-VLOOKUP(P32,Efgr,Data!$AA$53))</f>
        <v>304.76666666666603</v>
      </c>
      <c r="HV32" s="24">
        <f>IF(Nbal!FU32&lt;&gt;"",Nbal!FU32,Regn2!HU32)</f>
        <v>304.76666666666603</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50.778538531193952</v>
      </c>
      <c r="ID32">
        <f>IC32*Z32</f>
        <v>166.04582099700423</v>
      </c>
      <c r="IE32">
        <f>IF(Nbal!GF32&lt;&gt;"",Nbal!GF32,RetentionNbal)</f>
        <v>65</v>
      </c>
      <c r="IF32">
        <f>IC32*(100-IE32)*0.01</f>
        <v>17.772488485917883</v>
      </c>
      <c r="IG32">
        <f>IF32*Z32</f>
        <v>58.11603734895148</v>
      </c>
      <c r="IH32" s="2">
        <f>HS32*10000</f>
        <v>3047666.6666666605</v>
      </c>
      <c r="II32" s="2">
        <f>IH32*Z32</f>
        <v>9965869.9999999795</v>
      </c>
      <c r="IJ32">
        <f>IF(ISERROR(IC32*1000*1000/IH32),0,IC32*1000*1000/IH32)</f>
        <v>16.66144762042898</v>
      </c>
      <c r="IL32">
        <f>AT32+AX32+BK32+BU32</f>
        <v>9620</v>
      </c>
      <c r="IO32">
        <f>VLOOKUP(R32,Afgr,Data!$AP$3)*UdsaedJust</f>
        <v>488</v>
      </c>
      <c r="IP32" s="3">
        <f>IF(Nbal!GN32&lt;&gt;"",Nbal!GN32,IO32)</f>
        <v>488</v>
      </c>
      <c r="IQ32" s="3">
        <f>IP32*Z32</f>
        <v>1595.76</v>
      </c>
      <c r="IS32" s="3">
        <f>IF(HdgVaerdiNbal=1,(BZ32+CA32)*Npris,(BZ32+CA32+CJ32+CK32)*Npris)</f>
        <v>228.14999999999998</v>
      </c>
      <c r="IT32" s="3">
        <f>IS32*Z32</f>
        <v>746.05049999999994</v>
      </c>
      <c r="IV32">
        <f>VLOOKUP($R32,Afgr,Data!$BA$3)</f>
        <v>0</v>
      </c>
      <c r="IW32">
        <f>VLOOKUP($R32,Afgr,Data!$BB$3)</f>
        <v>2.5</v>
      </c>
      <c r="IX32">
        <f>$DS32+$EE32</f>
        <v>20.383000000000003</v>
      </c>
      <c r="IY32">
        <f>CT32</f>
        <v>17</v>
      </c>
      <c r="IZ32">
        <f>CQ32</f>
        <v>0</v>
      </c>
      <c r="JA32" s="3">
        <f>IF(HdgVaerdiNbal=1,(IZ32)*Ppris,(IY32+IZ32)*Ppris)</f>
        <v>0</v>
      </c>
      <c r="JB32" s="3">
        <f>JA32*Z32</f>
        <v>0</v>
      </c>
      <c r="JD32">
        <f>IF(AND(R32&gt;1,OR(Jordtype1=1,Jordtype1=3,Markvand1=2)),Kudvask,0)</f>
        <v>0</v>
      </c>
      <c r="JE32">
        <f>$DV32+$EH32</f>
        <v>52.972000000000001</v>
      </c>
      <c r="JF32">
        <f>DB32</f>
        <v>47</v>
      </c>
      <c r="JG32">
        <f>CY32</f>
        <v>0</v>
      </c>
      <c r="JH32" s="3">
        <f>IF(HdgVaerdiNbal=1,JG32*Kpris,(JF32+JG32)*Kpris)</f>
        <v>0</v>
      </c>
      <c r="JI32" s="3">
        <f>JH32*Z32</f>
        <v>0</v>
      </c>
      <c r="JK32">
        <f>IS32+JA32+JH32</f>
        <v>228.14999999999998</v>
      </c>
      <c r="JL32" s="3">
        <f>IF(Nbal!GT32&lt;&gt;"",Nbal!GT32,$JK32)</f>
        <v>228.14999999999998</v>
      </c>
      <c r="JM32" s="3">
        <f>JL32*Z32</f>
        <v>746.05049999999994</v>
      </c>
      <c r="JO32">
        <f>VLOOKUP(R32,Afgr,Data!$AQ$3)*PlantevJust</f>
        <v>283</v>
      </c>
      <c r="JP32" s="3">
        <f>IF(Nbal!GZ32&lt;&gt;"",Nbal!GZ32,JO32)</f>
        <v>283</v>
      </c>
      <c r="JQ32" s="3">
        <f>JP32*Z32</f>
        <v>925.41</v>
      </c>
      <c r="JS32">
        <f>VLOOKUP(R32,Afgr,Data!$AR$3)+AM32*VLOOKUP(R32,Afgr,Data!$BH$3)</f>
        <v>0</v>
      </c>
      <c r="JT32" s="3">
        <f>IF(Nbal!HF32&lt;&gt;"",Nbal!HF32,JS32)</f>
        <v>0</v>
      </c>
      <c r="JU32">
        <f>JT32*Z32</f>
        <v>0</v>
      </c>
      <c r="JW32">
        <f>IP32+JL32+JP32+JT32</f>
        <v>999.15</v>
      </c>
      <c r="JY32">
        <f>IF(VLOOKUP(R32,Afgr,Data!$BY$3)&gt;0,Data!$K$259*J32,0)</f>
        <v>600</v>
      </c>
      <c r="JZ32">
        <f>IF(VLOOKUP(R32,Afgr,Data!$BZ$3)&gt;0,Data!$K$260*J32,0)</f>
        <v>0</v>
      </c>
      <c r="KA32">
        <f>(JY32+JZ32)*MaskJust</f>
        <v>600</v>
      </c>
      <c r="KB32" s="3">
        <f>IF(Nbal!HL32&lt;&gt;"",Nbal!HL32,KA32)</f>
        <v>600</v>
      </c>
      <c r="KC32" s="3">
        <f>KB32*Z32</f>
        <v>1962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1144.5</v>
      </c>
      <c r="KP32">
        <f>IF(VLOOKUP(R32,Afgr,Data!$CJ$3)&gt;0,VLOOKUP(R32,Afgr,Data!$CJ$3)*Data!$K$268*K32,0)*MaskJust</f>
        <v>140</v>
      </c>
      <c r="KQ32" s="3">
        <f>IF(Nbal!HX32&lt;&gt;"",Nbal!HX32,KP32)</f>
        <v>140</v>
      </c>
      <c r="KR32" s="3">
        <f>KQ32*Z32</f>
        <v>457.8</v>
      </c>
      <c r="KT32">
        <f>IF(VLOOKUP(R32,Afgr,Data!$CI$3)&gt;0,VLOOKUP(R32,Afgr,Data!$CI$3)*Data!$K$269,0)*MaskJust</f>
        <v>300</v>
      </c>
      <c r="KU32" s="3">
        <f>IF(Nbal!ID32&lt;&gt;"",Nbal!ID32,KT32)</f>
        <v>300</v>
      </c>
      <c r="KV32" s="3">
        <f>KU32*Z32</f>
        <v>981</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746.47058823529403</v>
      </c>
      <c r="LE32">
        <f>IF(VLOOKUP($R32,Afgr,Data!$CK$3)&gt;0,IF(AND($S32=2,$BA32&gt;0),Data!$K$271,0),0)</f>
        <v>0</v>
      </c>
      <c r="LF32">
        <f>IF(VLOOKUP($R32,Afgr,Data!$CK$3)&gt;0,(AM32/VLOOKUP($R32,Afgr,Data!$CK$3))*VLOOKUP($R32,Afgr,Data!$CO$3)*VLOOKUP($R32,Afgr,Data!$CN$3),0)</f>
        <v>214.11764705882354</v>
      </c>
      <c r="LG32">
        <f>(LD32+LE32+LF32)*MaskJust</f>
        <v>960.58823529411757</v>
      </c>
      <c r="LH32" s="3">
        <f>IF(Nbal!IV32&lt;&gt;"",Nbal!IV32,LG32)</f>
        <v>960.58823529411757</v>
      </c>
      <c r="LI32" s="3">
        <f>LH32*Z32</f>
        <v>3141.1235294117646</v>
      </c>
      <c r="LJ32" s="3"/>
      <c r="LK32">
        <f>IF(AND($S32=1,VLOOKUP($R32,Afgr,Data!$CP$3)&gt;0),((1+$BC32/VLOOKUP($R32,Afgr,Data!$CP$3))/2)*VLOOKUP($R32,Afgr,Data!$CQ$3),0)</f>
        <v>525</v>
      </c>
      <c r="LL32">
        <f>IF(AND($S32=1,VLOOKUP($R32,Afgr,Data!$CP$3)&gt;0),($BC32/VLOOKUP($R32,Afgr,Data!$CP$3))*VLOOKUP($R32,Afgr,Data!$CR$3),0)</f>
        <v>200</v>
      </c>
      <c r="LM32">
        <f>(LK32+LL32)*MaskJust</f>
        <v>725</v>
      </c>
      <c r="LN32" s="3">
        <f>IF(Nbal!JB32&lt;&gt;"",Nbal!JB32,LM32)</f>
        <v>725</v>
      </c>
      <c r="LO32" s="3">
        <f>LN32*Z32</f>
        <v>2370.75</v>
      </c>
      <c r="LQ32">
        <f>$AM32*VLOOKUP($R32,Afgr,Data!$CS$3)*IF($V32=1,VLOOKUP($R32,Afgr,Data!$CT$3),IF($V32=2,VLOOKUP($R32,Afgr,Data!$CU$3),0))</f>
        <v>517.44000000000005</v>
      </c>
      <c r="LR32" s="3">
        <f>IF(Nbal!JK32&lt;&gt;"",Nbal!JK32,LQ32)</f>
        <v>517.44000000000005</v>
      </c>
      <c r="LS32" s="3">
        <f>LR32*Z32</f>
        <v>1692.0288000000003</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9620</v>
      </c>
      <c r="OE32">
        <f>JW32+MZ32</f>
        <v>999.15</v>
      </c>
      <c r="OF32">
        <f>OD32-OE32</f>
        <v>8620.85</v>
      </c>
      <c r="OG32">
        <f>OF32*Z32</f>
        <v>28190.179500000002</v>
      </c>
      <c r="OJ32">
        <f>VLOOKUP($O32,Afgr,Data!$BP$3)+VLOOKUP($P32,Efgr,Data!$AM$53)</f>
        <v>1</v>
      </c>
      <c r="OK32" s="3">
        <f>OJ32*Z32</f>
        <v>3.27</v>
      </c>
      <c r="OL32">
        <f>VLOOKUP($R32,Afgr,Data!$BP$3)+VLOOKUP($T32,Efgr,Data!$AM$53)</f>
        <v>1</v>
      </c>
      <c r="OM32" s="3">
        <f>OL32*Z32</f>
        <v>3.27</v>
      </c>
      <c r="OO32">
        <f>VLOOKUP($P32,Efgr,Data!$AN$53)</f>
        <v>0</v>
      </c>
      <c r="OP32">
        <f>VLOOKUP($O32,Afgr,Data!$BQ$3)</f>
        <v>1</v>
      </c>
      <c r="OQ32">
        <f>VLOOKUP($R32,Afgr,Data!$BR$3)</f>
        <v>1</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0</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0</v>
      </c>
      <c r="PR32">
        <f>IF(PQ32&gt;0,Z32,0)</f>
        <v>0</v>
      </c>
      <c r="PT32">
        <f>VLOOKUP($O32,Afgr,Data!$BT$3)</f>
        <v>1</v>
      </c>
      <c r="PU32" s="3">
        <f>PT32*Z32</f>
        <v>3.27</v>
      </c>
      <c r="PV32">
        <f>VLOOKUP($R32,Afgr,Data!$BT$3)</f>
        <v>1</v>
      </c>
      <c r="PW32" s="3">
        <f>PV32*Z32</f>
        <v>3.27</v>
      </c>
      <c r="PY32">
        <f>VLOOKUP($R32,Afgr,Data!$BV$3)</f>
        <v>0</v>
      </c>
      <c r="PZ32">
        <f>PY32*Z32</f>
        <v>0</v>
      </c>
      <c r="QB32">
        <f>VLOOKUP($R32,Afgr,Data!$BW$3)</f>
        <v>0</v>
      </c>
      <c r="QC32">
        <f>QB32*Z32</f>
        <v>0</v>
      </c>
      <c r="QE32">
        <f>AM32*IF(VLOOKUP($R32,Afgr,Data!$BJ$3)&gt;0,1,0)</f>
        <v>56</v>
      </c>
      <c r="QF32">
        <f>QE32*Z32</f>
        <v>183.12</v>
      </c>
      <c r="QH32">
        <f>AM32*VLOOKUP(R32,Afgr,Data!$BK$3)</f>
        <v>5292</v>
      </c>
      <c r="QI32">
        <f>Z32*QH32</f>
        <v>17304.84</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18678.240000000002</v>
      </c>
      <c r="QS32">
        <f>IF(VLOOKUP($R32,Afgr,Data!$DA$3)="Vinterbyg",$AN32,0)*VLOOKUP($R32,Afgr,Data!$BJ$3)</f>
        <v>0</v>
      </c>
      <c r="QT32">
        <f>IF(VLOOKUP($R32,Afgr,Data!$DA$3)="Havre",$AN32,0)*VLOOKUP($R32,Afgr,Data!$BJ$3)</f>
        <v>0</v>
      </c>
      <c r="QU32">
        <f>IF(VLOOKUP($R32,Afgr,Data!$DA$3)="Hvede",$AN32,0)*VLOOKUP($R32,Afgr,Data!$BJ$3)</f>
        <v>0</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1.08</v>
      </c>
      <c r="RJ32">
        <f>((CJ32+CK32+CL32+Regn2!CO32*0.7)-(RR32+RT32))*VLOOKUP(B32,Jordtype,Data!$AE$112+DenitNr-1)</f>
        <v>7.9550625000000013</v>
      </c>
      <c r="RK32">
        <f>0*VLOOKUP(B32,Jordtype,Data!$AE$112+DenitNr-1)</f>
        <v>0</v>
      </c>
      <c r="RL32">
        <f>Regn2!FD32*VLOOKUP(B32,Jordtype,Data!$AH$112+DenitNr-1)</f>
        <v>0</v>
      </c>
      <c r="RM32" s="3">
        <f>RH32+RI32+RJ32+RK32+RL32</f>
        <v>16.285062500000002</v>
      </c>
      <c r="RO32">
        <v>2</v>
      </c>
      <c r="RP32">
        <f>(FF32)*RO32*0.01</f>
        <v>0.54</v>
      </c>
      <c r="RQ32">
        <v>7</v>
      </c>
      <c r="RR32">
        <f>CE32*RQ32*0.01</f>
        <v>0</v>
      </c>
      <c r="RS32">
        <v>7</v>
      </c>
      <c r="RT32">
        <f>(Regn2!CF32+Regn2!CG32)*RS32*0.01</f>
        <v>6.09</v>
      </c>
      <c r="RW32">
        <f>VLOOKUP(R32,Afgr,Data!$EE$3)</f>
        <v>5</v>
      </c>
      <c r="RX32" s="3">
        <f>RP32+RR32+RT32+RV32+RW32</f>
        <v>11.629999999999999</v>
      </c>
    </row>
    <row r="33" spans="1:492" x14ac:dyDescent="0.25">
      <c r="GT33" s="12"/>
    </row>
    <row r="34" spans="1:492" x14ac:dyDescent="0.25">
      <c r="A34" s="214" t="str">
        <f>Nbal!B34</f>
        <v>14-0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40</v>
      </c>
      <c r="S34">
        <v>1</v>
      </c>
      <c r="T34">
        <v>1</v>
      </c>
      <c r="U34">
        <v>1</v>
      </c>
      <c r="V34">
        <v>1</v>
      </c>
      <c r="X34">
        <v>35</v>
      </c>
      <c r="Z34">
        <f>Nbal!AG34</f>
        <v>8.93</v>
      </c>
      <c r="AA34">
        <v>1</v>
      </c>
      <c r="AB34">
        <f>VLOOKUP($R34,Afgr,G34)</f>
        <v>110</v>
      </c>
      <c r="AC34">
        <f>VLOOKUP($O34,Afgr,Data!$AI$3)*VLOOKUP(R34,Afgr,Data!$AJ$3)</f>
        <v>0</v>
      </c>
      <c r="AD34">
        <f>IF($Q34,0,VLOOKUP($P34,Efgr,(Data!$W$53+$V$6-1)))</f>
        <v>0</v>
      </c>
      <c r="AE34">
        <f>AB34-AC34-AD34</f>
        <v>110</v>
      </c>
      <c r="AF34">
        <f>AE34*Z34</f>
        <v>982.3</v>
      </c>
      <c r="AH34">
        <f>VLOOKUP(R34,Afgr,D34)</f>
        <v>56</v>
      </c>
      <c r="AI34">
        <f>VLOOKUP(O34,Afgr,Data!$AL$3)*VLOOKUP(R34,Afgr,E34)</f>
        <v>0</v>
      </c>
      <c r="AJ34">
        <f>VLOOKUP(P34,Efgr,(Data!$Y$53+I34))</f>
        <v>0</v>
      </c>
      <c r="AK34">
        <f>AH34+AI34+AJ34</f>
        <v>56</v>
      </c>
      <c r="AL34">
        <f>AH34+AI34+AJ34</f>
        <v>56</v>
      </c>
      <c r="AM34" s="3">
        <f>IF(Nbal!CK34&lt;&gt;"",Nbal!CK34,AL34)</f>
        <v>56</v>
      </c>
      <c r="AN34">
        <f>AM34*Z34</f>
        <v>500.08</v>
      </c>
      <c r="AO34" t="str">
        <f>VLOOKUP(R34,Afgr,3)</f>
        <v>hkg</v>
      </c>
      <c r="AP34">
        <f>IF(AO34="FE",VLOOKUP($R34,Afgr,Data!$AV$3),0)</f>
        <v>0</v>
      </c>
      <c r="AR34">
        <f>VLOOKUP(R34,Afgr,4)</f>
        <v>145</v>
      </c>
      <c r="AS34" s="3">
        <f>IF(Nbal!CW34&lt;&gt;"",Nbal!CW34,AR34)</f>
        <v>145</v>
      </c>
      <c r="AT34" s="3">
        <f>AM34*AS34</f>
        <v>8120</v>
      </c>
      <c r="AU34" s="3">
        <f>AN34*AS34</f>
        <v>72511.599999999991</v>
      </c>
      <c r="AW34">
        <f>VLOOKUP(R34,Afgr,Data!$AN$3)</f>
        <v>0</v>
      </c>
      <c r="AX34" s="3">
        <f>IF(Nbal!DC34&lt;&gt;"",Nbal!DC34,AW34)</f>
        <v>0</v>
      </c>
      <c r="AY34" s="3">
        <f>AX34*Z34</f>
        <v>0</v>
      </c>
      <c r="BA34">
        <f>VLOOKUP(R34,Afgr,H34)</f>
        <v>3000</v>
      </c>
      <c r="BB34">
        <f>IF(ISERROR(BA34*AM34/AK34),0,(BA34*AM34/AK34))</f>
        <v>3000</v>
      </c>
      <c r="BC34" s="3">
        <f>IF(Nbal!DI34&lt;&gt;"",Nbal!DI34,BB34)</f>
        <v>3000</v>
      </c>
      <c r="BD34">
        <f>BC34*Z34</f>
        <v>26790</v>
      </c>
      <c r="BG34">
        <f>IF($S34=1,BC34,0)</f>
        <v>3000</v>
      </c>
      <c r="BH34">
        <f>IF($S34=1,BD34,0)</f>
        <v>26790</v>
      </c>
      <c r="BI34">
        <f>VLOOKUP(R34,Afgr,Data!$AM$3)</f>
        <v>0.5</v>
      </c>
      <c r="BJ34">
        <f>IF(Nbal!DR34&lt;&gt;"",Nbal!DR34,BI34)</f>
        <v>0.5</v>
      </c>
      <c r="BK34">
        <f>BG34*BJ34</f>
        <v>1500</v>
      </c>
      <c r="BL34">
        <f>BH34*BJ34</f>
        <v>13395</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27</v>
      </c>
      <c r="CB34" s="2">
        <f>Nbal!DZ34</f>
        <v>0</v>
      </c>
      <c r="CC34" s="211">
        <f>Nbal!AT34+Nbal!DZ34</f>
        <v>27</v>
      </c>
      <c r="CD34" s="211">
        <f>Nbal!AX34</f>
        <v>0</v>
      </c>
      <c r="CE34">
        <f>Nbal!BH34</f>
        <v>0</v>
      </c>
      <c r="CF34" s="211">
        <f>Nbal!BM34</f>
        <v>87</v>
      </c>
      <c r="CG34" s="2">
        <f>Nbal!EI34</f>
        <v>0</v>
      </c>
      <c r="CH34" s="211">
        <f>Nbal!BM34+Nbal!EI34</f>
        <v>87</v>
      </c>
      <c r="CI34" s="211">
        <f>Nbal!BW34</f>
        <v>0</v>
      </c>
      <c r="CJ34" s="211">
        <f>Nbal!BH34*Nbal!BJ34*0.01</f>
        <v>0</v>
      </c>
      <c r="CK34" s="211">
        <f>(Nbal!BM34*Nbal!BP34*0.01)</f>
        <v>63.945</v>
      </c>
      <c r="CL34" s="211">
        <f>(Nbal!EI34*Nbal!EL34*0.01)</f>
        <v>0</v>
      </c>
      <c r="CM34" s="211">
        <f>(Nbal!BM34*Nbal!BP34*0.01)+(Nbal!EI34*Nbal!EL34*0.01)</f>
        <v>63.945</v>
      </c>
      <c r="CN34" s="211">
        <f>Nbal!BW34*Nbal!BY34*0.01</f>
        <v>0</v>
      </c>
      <c r="CO34">
        <f>Nbal!BT34+Nbal!ER34</f>
        <v>0</v>
      </c>
      <c r="CQ34">
        <f>Nbal!BA34</f>
        <v>0</v>
      </c>
      <c r="CR34">
        <f>Nbal!EC34</f>
        <v>0</v>
      </c>
      <c r="CS34">
        <f>(CQ34+CR34)*Z34</f>
        <v>0</v>
      </c>
      <c r="CT34">
        <f>Nbal!CB34</f>
        <v>17</v>
      </c>
      <c r="CU34">
        <f>Nbal!EV34</f>
        <v>0</v>
      </c>
      <c r="CV34">
        <f>(CT34+CU34)*Z34</f>
        <v>151.81</v>
      </c>
      <c r="CW34">
        <f>Nbal!BA34+Nbal!CB34+Nbal!EC34+Nbal!EV34</f>
        <v>17</v>
      </c>
      <c r="CY34">
        <f>Nbal!BD34</f>
        <v>0</v>
      </c>
      <c r="CZ34">
        <f>Nbal!EF34</f>
        <v>0</v>
      </c>
      <c r="DA34">
        <f>(CY34+CZ34)*Z34</f>
        <v>0</v>
      </c>
      <c r="DB34">
        <f>Nbal!CE34</f>
        <v>47</v>
      </c>
      <c r="DC34">
        <f>Nbal!EY34</f>
        <v>0</v>
      </c>
      <c r="DD34">
        <f>(DB34+DC34)*Z34</f>
        <v>419.71</v>
      </c>
      <c r="DE34">
        <f>Nbal!BD34+Nbal!CE34+Nbal!EF34+Nbal!EY34</f>
        <v>47</v>
      </c>
      <c r="DG34">
        <f>VLOOKUP($R34,Afgr,Data!$AW$3)</f>
        <v>11.1875</v>
      </c>
      <c r="DH34">
        <f>IF($AO34="FE",$AM34*$AP34*$DG34*0.01,$AM34*100*$DM34*0.01*$DG34*0.01)</f>
        <v>532.52499999999998</v>
      </c>
      <c r="DI34">
        <f>IF(VLOOKUP(R34,Afgr,Data!$BO$3)=1,DH34,0)*Z34</f>
        <v>4755.4482499999995</v>
      </c>
      <c r="DJ34" s="12">
        <f>(BZ34+CC34+CJ34-AE34)*VLOOKUP($R34,Afgr,Data!$AX$3)</f>
        <v>-1.6600000000000001</v>
      </c>
      <c r="DK34">
        <f>DG34+DJ34</f>
        <v>9.5274999999999999</v>
      </c>
      <c r="DL34">
        <f>IF(Nbal!CQ34&lt;&gt;"",Nbal!CQ34,DK34)</f>
        <v>9.5274999999999999</v>
      </c>
      <c r="DM34">
        <f>VLOOKUP(R34,Afgr,Data!$AT$3)</f>
        <v>85</v>
      </c>
      <c r="DN34">
        <f>IF($AO34="FE",$AM34*$AP34*$DL34*0.01,$AM34*100*$DM34*0.01*DL34*0.01)</f>
        <v>453.50900000000001</v>
      </c>
      <c r="DO34">
        <f>IF(VLOOKUP(R34,Afgr,Data!$BO$3)=1,DN34,0)*Z34</f>
        <v>4049.8353699999998</v>
      </c>
      <c r="DP34">
        <f>IF(ISERROR(DN34/VLOOKUP(R34,Afgr,Data!$AY$3)),0,DN34/VLOOKUP(R34,Afgr,Data!$AY$3))</f>
        <v>72.561440000000005</v>
      </c>
      <c r="DQ34">
        <f>DP34*Z34</f>
        <v>647.97365920000004</v>
      </c>
      <c r="DS34">
        <f>IF($AO34="FE",$AM34*$AP34*VLOOKUP($R34,Afgr,Data!$BC$3)*0.001,$AM34*100*$DM34*0.01*VLOOKUP($R34,Afgr,Data!$BC$3)*0.001)</f>
        <v>18.088000000000001</v>
      </c>
      <c r="DT34">
        <f>DS34*Z34</f>
        <v>161.52584000000002</v>
      </c>
      <c r="DV34">
        <f>IF($AO34="FE",$AM34*$AP34*VLOOKUP($R34,Afgr,Data!$BF$3)*0.001,$AM34*100*$DM34*0.01*VLOOKUP($R34,Afgr,Data!$BF$3)*0.001)</f>
        <v>22.372</v>
      </c>
      <c r="DW34">
        <f>DV34*Z34</f>
        <v>199.78196</v>
      </c>
      <c r="DY34">
        <f>IF(ISERROR(VLOOKUP(R34,Afgr,Data!$AZ$3)*DL34/DG34),0,VLOOKUP(R34,Afgr,Data!$AZ$3)*DL34/DG34)</f>
        <v>3.4064804469273744</v>
      </c>
      <c r="DZ34">
        <f>VLOOKUP(R34,Afgr,Data!$AU$3)</f>
        <v>85</v>
      </c>
      <c r="EA34">
        <f>IF($S34=1,$BC34*$DZ34*0.01*DY34*0.01,0)</f>
        <v>86.865251396648063</v>
      </c>
      <c r="EB34">
        <f>EA34/6.25</f>
        <v>13.898440223463689</v>
      </c>
      <c r="EC34">
        <f>EB34*Z34</f>
        <v>124.11307119553074</v>
      </c>
      <c r="EE34">
        <f>IF($S34=1,$BC34*$DZ34*0.01*VLOOKUP($R34,Afgr,Data!$BD$3)*0.001,0)</f>
        <v>2.2949999999999999</v>
      </c>
      <c r="EF34">
        <f>EE34*Z34</f>
        <v>20.494349999999997</v>
      </c>
      <c r="EH34">
        <f>IF($S34=1,$BC34*$DZ34*0.01*VLOOKUP($R34,Afgr,Data!$BG$3)*0.001,0)</f>
        <v>30.6</v>
      </c>
      <c r="EI34">
        <f>EH34*Z34</f>
        <v>273.25799999999998</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90.944999999999993</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27</v>
      </c>
      <c r="FG34" s="211">
        <f>FF34*Z34</f>
        <v>241.10999999999999</v>
      </c>
      <c r="FH34" s="211">
        <f>CE34+CH34+CO34</f>
        <v>87</v>
      </c>
      <c r="FI34" s="211">
        <f>FH34*Z34</f>
        <v>776.91</v>
      </c>
      <c r="FJ34">
        <f>VLOOKUP($R34,Afgr,Data!$DK$3)*VLOOKUP($R34,Afgr,Data!$AT$3)*0.01*VLOOKUP($R34,Afgr,Data!$AW$3)*0.01/6.25</f>
        <v>2.4344000000000001</v>
      </c>
      <c r="FK34">
        <f>FJ34*Z34</f>
        <v>21.739191999999999</v>
      </c>
      <c r="FL34" s="4">
        <f>IF(R34&gt;1,Deposition,0)</f>
        <v>15</v>
      </c>
      <c r="FM34" s="4">
        <f>FL34*Z34</f>
        <v>133.94999999999999</v>
      </c>
      <c r="FN34">
        <f>FC34</f>
        <v>0</v>
      </c>
      <c r="FO34">
        <f>FN34*Z34</f>
        <v>0</v>
      </c>
      <c r="FP34" s="211">
        <f>SUM(FF34,FH34,FJ34,FL34,FN34)</f>
        <v>131.43439999999998</v>
      </c>
      <c r="FQ34">
        <f>DP34+EB34+EL34</f>
        <v>86.459880223463699</v>
      </c>
      <c r="FR34" s="3">
        <f>FP34-FQ34</f>
        <v>44.974519776536283</v>
      </c>
      <c r="FS34" s="19">
        <f>FP34*Z34</f>
        <v>1173.7091919999998</v>
      </c>
      <c r="FT34" s="19">
        <f>FQ34*Z34</f>
        <v>772.08673039553082</v>
      </c>
      <c r="FU34" s="3">
        <f>FR34*Z34</f>
        <v>401.62246160446898</v>
      </c>
      <c r="FW34">
        <f>CW34</f>
        <v>17</v>
      </c>
      <c r="FX34">
        <f>FW34*Z34</f>
        <v>151.81</v>
      </c>
      <c r="FY34">
        <f>IX34+MB34</f>
        <v>20.383000000000003</v>
      </c>
      <c r="FZ34">
        <f>FY34*Z34</f>
        <v>182.02019000000001</v>
      </c>
      <c r="GA34">
        <f>FW34-FY34</f>
        <v>-3.3830000000000027</v>
      </c>
      <c r="GB34">
        <f>GA34*Z34</f>
        <v>-30.210190000000022</v>
      </c>
      <c r="GD34">
        <f>DE34</f>
        <v>47</v>
      </c>
      <c r="GE34">
        <f>GD34*Z34</f>
        <v>419.71</v>
      </c>
      <c r="GF34">
        <f>JE34+MH34</f>
        <v>52.972000000000001</v>
      </c>
      <c r="GG34">
        <f>GF34*Z34</f>
        <v>473.03996000000001</v>
      </c>
      <c r="GH34">
        <f>GD34-GF34</f>
        <v>-5.9720000000000013</v>
      </c>
      <c r="GI34">
        <f>GH34*Z34</f>
        <v>-53.329960000000007</v>
      </c>
      <c r="GK34">
        <f>AA34</f>
        <v>1</v>
      </c>
      <c r="GL34" s="211">
        <f>FF34+FH34+FN34</f>
        <v>114</v>
      </c>
      <c r="GM34" s="211">
        <f>IF(R34=1,"",IF(GK34=1,GL34,""))</f>
        <v>114</v>
      </c>
      <c r="GN34" s="211" t="str">
        <f>IF(R34=1,"",IF(GK34=2,GL34,""))</f>
        <v/>
      </c>
      <c r="GO34" s="211" t="str">
        <f>IF(R34=1,"",IF(GK34=3,GL34,""))</f>
        <v/>
      </c>
      <c r="GP34" s="211" t="str">
        <f>IF(R34=1,"",IF(GK34=4,GL34,""))</f>
        <v/>
      </c>
      <c r="GQ34" s="149">
        <f>IF(OR(R34=1,VLOOKUP(R34,Afgr,Data!$BV$3)=1,VLOOKUP(R34,Afgr,Data!$BW$3)=1),0,IF(GK34=1,Nniveau1,IF(GK34=2,Nniveau2,IF(GK34=3,Nniveau3,IF(GK34=4,Nniveau4,GL34)))))</f>
        <v>197.65542292344122</v>
      </c>
      <c r="GR34" s="222">
        <v>0.32550000000000001</v>
      </c>
      <c r="GS34" s="6">
        <v>0</v>
      </c>
      <c r="GT34" s="149">
        <f>CC34+CM34</f>
        <v>90.944999999999993</v>
      </c>
      <c r="GU34" s="6">
        <f>$FN34</f>
        <v>0</v>
      </c>
      <c r="GV34" s="222">
        <v>0.25280000000000002</v>
      </c>
      <c r="GW34">
        <f>CO34</f>
        <v>0</v>
      </c>
      <c r="GX34" s="222">
        <v>0.376</v>
      </c>
      <c r="GY34" s="149">
        <f>CD34+CN34</f>
        <v>0</v>
      </c>
      <c r="GZ34" s="222">
        <f>IF(B34&gt;3,0.3539,1.0749)</f>
        <v>0.35389999999999999</v>
      </c>
      <c r="HA34" s="11">
        <f>$FQ34</f>
        <v>86.459880223463699</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62.989103350317528</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62.989103350317528</v>
      </c>
      <c r="HQ34" s="222">
        <v>1.5020000000000001E-3</v>
      </c>
      <c r="HR34" s="24">
        <f>IF(R34=1,0,VLOOKUP(PostnrNbal,AfstromData,VLOOKUP($R34,Afgr,Data!$DL$3)+IF(Jordtype1&lt;7,Jordtype1,6),FALSE)-VLOOKUP(T34,Efgr,Data!$AA$53))</f>
        <v>304.76666666666603</v>
      </c>
      <c r="HS34" s="24">
        <f>IF(Nbal!GA34&lt;&gt;"",Nbal!GA34,Regn2!HR34)</f>
        <v>304.76666666666603</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51.773220084389841</v>
      </c>
      <c r="ID34">
        <f>IC34*Z34</f>
        <v>462.33485535360126</v>
      </c>
      <c r="IE34">
        <f>IF(Nbal!GF34&lt;&gt;"",Nbal!GF34,RetentionNbal)</f>
        <v>65</v>
      </c>
      <c r="IF34">
        <f>IC34*(100-IE34)*0.01</f>
        <v>18.120627029536447</v>
      </c>
      <c r="IG34">
        <f>IF34*Z34</f>
        <v>161.81719937376047</v>
      </c>
      <c r="IH34" s="2">
        <f>HS34*10000</f>
        <v>3047666.6666666605</v>
      </c>
      <c r="II34" s="2">
        <f>IH34*Z34</f>
        <v>27215663.333333276</v>
      </c>
      <c r="IJ34">
        <f>IF(ISERROR(IC34*1000*1000/IH34),0,IC34*1000*1000/IH34)</f>
        <v>16.987822405465366</v>
      </c>
      <c r="IL34">
        <f>AT34+AX34+BK34+BU34</f>
        <v>9620</v>
      </c>
      <c r="IO34">
        <f>VLOOKUP(R34,Afgr,Data!$AP$3)*UdsaedJust</f>
        <v>488</v>
      </c>
      <c r="IP34" s="3">
        <f>IF(Nbal!GN34&lt;&gt;"",Nbal!GN34,IO34)</f>
        <v>488</v>
      </c>
      <c r="IQ34" s="3">
        <f>IP34*Z34</f>
        <v>4357.84</v>
      </c>
      <c r="IS34" s="3">
        <f>IF(HdgVaerdiNbal=1,(BZ34+CA34)*Npris,(BZ34+CA34+CJ34+CK34)*Npris)</f>
        <v>228.14999999999998</v>
      </c>
      <c r="IT34" s="3">
        <f>IS34*Z34</f>
        <v>2037.3794999999998</v>
      </c>
      <c r="IV34">
        <f>VLOOKUP($R34,Afgr,Data!$BA$3)</f>
        <v>0</v>
      </c>
      <c r="IW34">
        <f>VLOOKUP($R34,Afgr,Data!$BB$3)</f>
        <v>2.5</v>
      </c>
      <c r="IX34">
        <f>$DS34+$EE34</f>
        <v>20.383000000000003</v>
      </c>
      <c r="IY34">
        <f>CT34</f>
        <v>17</v>
      </c>
      <c r="IZ34">
        <f>CQ34</f>
        <v>0</v>
      </c>
      <c r="JA34" s="3">
        <f>IF(HdgVaerdiNbal=1,(IZ34)*Ppris,(IY34+IZ34)*Ppris)</f>
        <v>0</v>
      </c>
      <c r="JB34" s="3">
        <f>JA34*Z34</f>
        <v>0</v>
      </c>
      <c r="JD34">
        <f>IF(AND(R34&gt;1,OR(Jordtype1=1,Jordtype1=3,Markvand1=2)),Kudvask,0)</f>
        <v>0</v>
      </c>
      <c r="JE34">
        <f>$DV34+$EH34</f>
        <v>52.972000000000001</v>
      </c>
      <c r="JF34">
        <f>DB34</f>
        <v>47</v>
      </c>
      <c r="JG34">
        <f>CY34</f>
        <v>0</v>
      </c>
      <c r="JH34" s="3">
        <f>IF(HdgVaerdiNbal=1,JG34*Kpris,(JF34+JG34)*Kpris)</f>
        <v>0</v>
      </c>
      <c r="JI34" s="3">
        <f>JH34*Z34</f>
        <v>0</v>
      </c>
      <c r="JK34">
        <f>IS34+JA34+JH34</f>
        <v>228.14999999999998</v>
      </c>
      <c r="JL34" s="3">
        <f>IF(Nbal!GT34&lt;&gt;"",Nbal!GT34,$JK34)</f>
        <v>228.14999999999998</v>
      </c>
      <c r="JM34" s="3">
        <f>JL34*Z34</f>
        <v>2037.3794999999998</v>
      </c>
      <c r="JO34">
        <f>VLOOKUP(R34,Afgr,Data!$AQ$3)*PlantevJust</f>
        <v>283</v>
      </c>
      <c r="JP34" s="3">
        <f>IF(Nbal!GZ34&lt;&gt;"",Nbal!GZ34,JO34)</f>
        <v>283</v>
      </c>
      <c r="JQ34" s="3">
        <f>JP34*Z34</f>
        <v>2527.19</v>
      </c>
      <c r="JS34">
        <f>VLOOKUP(R34,Afgr,Data!$AR$3)+AM34*VLOOKUP(R34,Afgr,Data!$BH$3)</f>
        <v>0</v>
      </c>
      <c r="JT34" s="3">
        <f>IF(Nbal!HF34&lt;&gt;"",Nbal!HF34,JS34)</f>
        <v>0</v>
      </c>
      <c r="JU34">
        <f>JT34*Z34</f>
        <v>0</v>
      </c>
      <c r="JW34">
        <f>IP34+JL34+JP34+JT34</f>
        <v>999.15</v>
      </c>
      <c r="JY34">
        <f>IF(VLOOKUP(R34,Afgr,Data!$BY$3)&gt;0,Data!$K$259*J34,0)</f>
        <v>600</v>
      </c>
      <c r="JZ34">
        <f>IF(VLOOKUP(R34,Afgr,Data!$BZ$3)&gt;0,Data!$K$260*J34,0)</f>
        <v>0</v>
      </c>
      <c r="KA34">
        <f>(JY34+JZ34)*MaskJust</f>
        <v>600</v>
      </c>
      <c r="KB34" s="3">
        <f>IF(Nbal!HL34&lt;&gt;"",Nbal!HL34,KA34)</f>
        <v>600</v>
      </c>
      <c r="KC34" s="3">
        <f>KB34*Z34</f>
        <v>5358</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3125.5</v>
      </c>
      <c r="KP34">
        <f>IF(VLOOKUP(R34,Afgr,Data!$CJ$3)&gt;0,VLOOKUP(R34,Afgr,Data!$CJ$3)*Data!$K$268*K34,0)*MaskJust</f>
        <v>140</v>
      </c>
      <c r="KQ34" s="3">
        <f>IF(Nbal!HX34&lt;&gt;"",Nbal!HX34,KP34)</f>
        <v>140</v>
      </c>
      <c r="KR34" s="3">
        <f>KQ34*Z34</f>
        <v>1250.2</v>
      </c>
      <c r="KT34">
        <f>IF(VLOOKUP(R34,Afgr,Data!$CI$3)&gt;0,VLOOKUP(R34,Afgr,Data!$CI$3)*Data!$K$269,0)*MaskJust</f>
        <v>300</v>
      </c>
      <c r="KU34" s="3">
        <f>IF(Nbal!ID34&lt;&gt;"",Nbal!ID34,KT34)</f>
        <v>300</v>
      </c>
      <c r="KV34" s="3">
        <f>KU34*Z34</f>
        <v>2679</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746.47058823529403</v>
      </c>
      <c r="LE34">
        <f>IF(VLOOKUP($R34,Afgr,Data!$CK$3)&gt;0,IF(AND($S34=2,$BA34&gt;0),Data!$K$271,0),0)</f>
        <v>0</v>
      </c>
      <c r="LF34">
        <f>IF(VLOOKUP($R34,Afgr,Data!$CK$3)&gt;0,(AM34/VLOOKUP($R34,Afgr,Data!$CK$3))*VLOOKUP($R34,Afgr,Data!$CO$3)*VLOOKUP($R34,Afgr,Data!$CN$3),0)</f>
        <v>214.11764705882354</v>
      </c>
      <c r="LG34">
        <f>(LD34+LE34+LF34)*MaskJust</f>
        <v>960.58823529411757</v>
      </c>
      <c r="LH34" s="3">
        <f>IF(Nbal!IV34&lt;&gt;"",Nbal!IV34,LG34)</f>
        <v>960.58823529411757</v>
      </c>
      <c r="LI34" s="3">
        <f>LH34*Z34</f>
        <v>8578.0529411764692</v>
      </c>
      <c r="LJ34" s="3"/>
      <c r="LK34">
        <f>IF(AND($S34=1,VLOOKUP($R34,Afgr,Data!$CP$3)&gt;0),((1+$BC34/VLOOKUP($R34,Afgr,Data!$CP$3))/2)*VLOOKUP($R34,Afgr,Data!$CQ$3),0)</f>
        <v>525</v>
      </c>
      <c r="LL34">
        <f>IF(AND($S34=1,VLOOKUP($R34,Afgr,Data!$CP$3)&gt;0),($BC34/VLOOKUP($R34,Afgr,Data!$CP$3))*VLOOKUP($R34,Afgr,Data!$CR$3),0)</f>
        <v>200</v>
      </c>
      <c r="LM34">
        <f>(LK34+LL34)*MaskJust</f>
        <v>725</v>
      </c>
      <c r="LN34" s="3">
        <f>IF(Nbal!JB34&lt;&gt;"",Nbal!JB34,LM34)</f>
        <v>725</v>
      </c>
      <c r="LO34" s="3">
        <f>LN34*Z34</f>
        <v>6474.25</v>
      </c>
      <c r="LQ34">
        <f>$AM34*VLOOKUP($R34,Afgr,Data!$CS$3)*IF($V34=1,VLOOKUP($R34,Afgr,Data!$CT$3),IF($V34=2,VLOOKUP($R34,Afgr,Data!$CU$3),0))</f>
        <v>517.44000000000005</v>
      </c>
      <c r="LR34" s="3">
        <f>IF(Nbal!JK34&lt;&gt;"",Nbal!JK34,LQ34)</f>
        <v>517.44000000000005</v>
      </c>
      <c r="LS34" s="3">
        <f>LR34*Z34</f>
        <v>4620.7392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9620</v>
      </c>
      <c r="OE34">
        <f>JW34+MZ34</f>
        <v>999.15</v>
      </c>
      <c r="OF34">
        <f>OD34-OE34</f>
        <v>8620.85</v>
      </c>
      <c r="OG34">
        <f>OF34*Z34</f>
        <v>76984.190499999997</v>
      </c>
      <c r="OJ34">
        <f>VLOOKUP($O34,Afgr,Data!$BP$3)+VLOOKUP($P34,Efgr,Data!$AM$53)</f>
        <v>1</v>
      </c>
      <c r="OK34" s="3">
        <f>OJ34*Z34</f>
        <v>8.93</v>
      </c>
      <c r="OL34">
        <f>VLOOKUP($R34,Afgr,Data!$BP$3)+VLOOKUP($T34,Efgr,Data!$AM$53)</f>
        <v>1</v>
      </c>
      <c r="OM34" s="3">
        <f>OL34*Z34</f>
        <v>8.93</v>
      </c>
      <c r="OO34">
        <f>VLOOKUP($P34,Efgr,Data!$AN$53)</f>
        <v>0</v>
      </c>
      <c r="OP34">
        <f>VLOOKUP($O34,Afgr,Data!$BQ$3)</f>
        <v>1</v>
      </c>
      <c r="OQ34">
        <f>VLOOKUP($R34,Afgr,Data!$BR$3)</f>
        <v>1</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0</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0</v>
      </c>
      <c r="PR34">
        <f>IF(PQ34&gt;0,Z34,0)</f>
        <v>0</v>
      </c>
      <c r="PT34">
        <f>VLOOKUP($O34,Afgr,Data!$BT$3)</f>
        <v>1</v>
      </c>
      <c r="PU34" s="3">
        <f>PT34*Z34</f>
        <v>8.93</v>
      </c>
      <c r="PV34">
        <f>VLOOKUP($R34,Afgr,Data!$BT$3)</f>
        <v>1</v>
      </c>
      <c r="PW34" s="3">
        <f>PV34*Z34</f>
        <v>8.93</v>
      </c>
      <c r="PY34">
        <f>VLOOKUP($R34,Afgr,Data!$BV$3)</f>
        <v>0</v>
      </c>
      <c r="PZ34">
        <f>PY34*Z34</f>
        <v>0</v>
      </c>
      <c r="QB34">
        <f>VLOOKUP($R34,Afgr,Data!$BW$3)</f>
        <v>0</v>
      </c>
      <c r="QC34">
        <f>QB34*Z34</f>
        <v>0</v>
      </c>
      <c r="QE34">
        <f>AM34*IF(VLOOKUP($R34,Afgr,Data!$BJ$3)&gt;0,1,0)</f>
        <v>56</v>
      </c>
      <c r="QF34">
        <f>QE34*Z34</f>
        <v>500.08</v>
      </c>
      <c r="QH34">
        <f>AM34*VLOOKUP(R34,Afgr,Data!$BK$3)</f>
        <v>5292</v>
      </c>
      <c r="QI34">
        <f>Z34*QH34</f>
        <v>47257.56</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51008.159999999996</v>
      </c>
      <c r="QS34">
        <f>IF(VLOOKUP($R34,Afgr,Data!$DA$3)="Vinterbyg",$AN34,0)*VLOOKUP($R34,Afgr,Data!$BJ$3)</f>
        <v>0</v>
      </c>
      <c r="QT34">
        <f>IF(VLOOKUP($R34,Afgr,Data!$DA$3)="Havre",$AN34,0)*VLOOKUP($R34,Afgr,Data!$BJ$3)</f>
        <v>0</v>
      </c>
      <c r="QU34">
        <f>IF(VLOOKUP($R34,Afgr,Data!$DA$3)="Hvede",$AN34,0)*VLOOKUP($R34,Afgr,Data!$BJ$3)</f>
        <v>0</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1.08</v>
      </c>
      <c r="RJ34">
        <f>((CJ34+CK34+CL34+Regn2!CO34*0.7)-(RR34+RT34))*VLOOKUP(B34,Jordtype,Data!$AE$112+DenitNr-1)</f>
        <v>7.9550625000000013</v>
      </c>
      <c r="RK34">
        <f>0*VLOOKUP(B34,Jordtype,Data!$AE$112+DenitNr-1)</f>
        <v>0</v>
      </c>
      <c r="RL34">
        <f>Regn2!FD34*VLOOKUP(B34,Jordtype,Data!$AH$112+DenitNr-1)</f>
        <v>0</v>
      </c>
      <c r="RM34" s="3">
        <f>RH34+RI34+RJ34+RK34+RL34</f>
        <v>16.285062500000002</v>
      </c>
      <c r="RO34">
        <v>2</v>
      </c>
      <c r="RP34">
        <f>(FF34)*RO34*0.01</f>
        <v>0.54</v>
      </c>
      <c r="RQ34">
        <v>7</v>
      </c>
      <c r="RR34">
        <f>CE34*RQ34*0.01</f>
        <v>0</v>
      </c>
      <c r="RS34">
        <v>7</v>
      </c>
      <c r="RT34">
        <f>(Regn2!CF34+Regn2!CG34)*RS34*0.01</f>
        <v>6.09</v>
      </c>
      <c r="RW34">
        <f>VLOOKUP(R34,Afgr,Data!$EE$3)</f>
        <v>5</v>
      </c>
      <c r="RX34" s="3">
        <f>RP34+RR34+RT34+RV34+RW34</f>
        <v>11.629999999999999</v>
      </c>
    </row>
    <row r="35" spans="1:492" x14ac:dyDescent="0.25">
      <c r="GT35" s="12"/>
    </row>
    <row r="36" spans="1:492" x14ac:dyDescent="0.25">
      <c r="A36" s="214" t="str">
        <f>Nbal!B36</f>
        <v>15-0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40</v>
      </c>
      <c r="S36">
        <v>1</v>
      </c>
      <c r="T36">
        <v>1</v>
      </c>
      <c r="U36">
        <v>1</v>
      </c>
      <c r="V36">
        <v>1</v>
      </c>
      <c r="X36">
        <v>35</v>
      </c>
      <c r="Z36">
        <f>Nbal!AG36</f>
        <v>3.78</v>
      </c>
      <c r="AA36">
        <v>1</v>
      </c>
      <c r="AB36">
        <f>VLOOKUP($R36,Afgr,G36)</f>
        <v>110</v>
      </c>
      <c r="AC36">
        <f>VLOOKUP($O36,Afgr,Data!$AI$3)*VLOOKUP(R36,Afgr,Data!$AJ$3)</f>
        <v>0</v>
      </c>
      <c r="AD36">
        <f>IF($Q36,0,VLOOKUP($P36,Efgr,(Data!$W$53+$V$6-1)))</f>
        <v>0</v>
      </c>
      <c r="AE36">
        <f>AB36-AC36-AD36</f>
        <v>110</v>
      </c>
      <c r="AF36">
        <f>AE36*Z36</f>
        <v>415.79999999999995</v>
      </c>
      <c r="AH36">
        <f>VLOOKUP(R36,Afgr,D36)</f>
        <v>56</v>
      </c>
      <c r="AI36">
        <f>VLOOKUP(O36,Afgr,Data!$AL$3)*VLOOKUP(R36,Afgr,E36)</f>
        <v>0</v>
      </c>
      <c r="AJ36">
        <f>VLOOKUP(P36,Efgr,(Data!$Y$53+I36))</f>
        <v>0</v>
      </c>
      <c r="AK36">
        <f>AH36+AI36+AJ36</f>
        <v>56</v>
      </c>
      <c r="AL36">
        <f>AH36+AI36+AJ36</f>
        <v>56</v>
      </c>
      <c r="AM36" s="3">
        <f>IF(Nbal!CK36&lt;&gt;"",Nbal!CK36,AL36)</f>
        <v>56</v>
      </c>
      <c r="AN36">
        <f>AM36*Z36</f>
        <v>211.67999999999998</v>
      </c>
      <c r="AO36" t="str">
        <f>VLOOKUP(R36,Afgr,3)</f>
        <v>hkg</v>
      </c>
      <c r="AP36">
        <f>IF(AO36="FE",VLOOKUP($R36,Afgr,Data!$AV$3),0)</f>
        <v>0</v>
      </c>
      <c r="AR36">
        <f>VLOOKUP(R36,Afgr,4)</f>
        <v>145</v>
      </c>
      <c r="AS36" s="3">
        <f>IF(Nbal!CW36&lt;&gt;"",Nbal!CW36,AR36)</f>
        <v>145</v>
      </c>
      <c r="AT36" s="3">
        <f>AM36*AS36</f>
        <v>8120</v>
      </c>
      <c r="AU36" s="3">
        <f>AN36*AS36</f>
        <v>30693.599999999999</v>
      </c>
      <c r="AW36">
        <f>VLOOKUP(R36,Afgr,Data!$AN$3)</f>
        <v>0</v>
      </c>
      <c r="AX36" s="3">
        <f>IF(Nbal!DC36&lt;&gt;"",Nbal!DC36,AW36)</f>
        <v>0</v>
      </c>
      <c r="AY36" s="3">
        <f>AX36*Z36</f>
        <v>0</v>
      </c>
      <c r="BA36">
        <f>VLOOKUP(R36,Afgr,H36)</f>
        <v>3000</v>
      </c>
      <c r="BB36">
        <f>IF(ISERROR(BA36*AM36/AK36),0,(BA36*AM36/AK36))</f>
        <v>3000</v>
      </c>
      <c r="BC36" s="3">
        <f>IF(Nbal!DI36&lt;&gt;"",Nbal!DI36,BB36)</f>
        <v>3000</v>
      </c>
      <c r="BD36">
        <f>BC36*Z36</f>
        <v>11340</v>
      </c>
      <c r="BG36">
        <f>IF($S36=1,BC36,0)</f>
        <v>3000</v>
      </c>
      <c r="BH36">
        <f>IF($S36=1,BD36,0)</f>
        <v>11340</v>
      </c>
      <c r="BI36">
        <f>VLOOKUP(R36,Afgr,Data!$AM$3)</f>
        <v>0.5</v>
      </c>
      <c r="BJ36">
        <f>IF(Nbal!DR36&lt;&gt;"",Nbal!DR36,BI36)</f>
        <v>0.5</v>
      </c>
      <c r="BK36">
        <f>BG36*BJ36</f>
        <v>1500</v>
      </c>
      <c r="BL36">
        <f>BH36*BJ36</f>
        <v>5670</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27</v>
      </c>
      <c r="CB36" s="2">
        <f>Nbal!DZ36</f>
        <v>0</v>
      </c>
      <c r="CC36" s="211">
        <f>Nbal!AT36+Nbal!DZ36</f>
        <v>27</v>
      </c>
      <c r="CD36" s="211">
        <f>Nbal!AX36</f>
        <v>0</v>
      </c>
      <c r="CE36">
        <f>Nbal!BH36</f>
        <v>0</v>
      </c>
      <c r="CF36" s="211">
        <f>Nbal!BM36</f>
        <v>87</v>
      </c>
      <c r="CG36" s="2">
        <f>Nbal!EI36</f>
        <v>0</v>
      </c>
      <c r="CH36" s="211">
        <f>Nbal!BM36+Nbal!EI36</f>
        <v>87</v>
      </c>
      <c r="CI36" s="211">
        <f>Nbal!BW36</f>
        <v>0</v>
      </c>
      <c r="CJ36" s="211">
        <f>Nbal!BH36*Nbal!BJ36*0.01</f>
        <v>0</v>
      </c>
      <c r="CK36" s="211">
        <f>(Nbal!BM36*Nbal!BP36*0.01)</f>
        <v>63.945</v>
      </c>
      <c r="CL36" s="211">
        <f>(Nbal!EI36*Nbal!EL36*0.01)</f>
        <v>0</v>
      </c>
      <c r="CM36" s="211">
        <f>(Nbal!BM36*Nbal!BP36*0.01)+(Nbal!EI36*Nbal!EL36*0.01)</f>
        <v>63.945</v>
      </c>
      <c r="CN36" s="211">
        <f>Nbal!BW36*Nbal!BY36*0.01</f>
        <v>0</v>
      </c>
      <c r="CO36">
        <f>Nbal!BT36+Nbal!ER36</f>
        <v>0</v>
      </c>
      <c r="CQ36">
        <f>Nbal!BA36</f>
        <v>0</v>
      </c>
      <c r="CR36">
        <f>Nbal!EC36</f>
        <v>0</v>
      </c>
      <c r="CS36">
        <f>(CQ36+CR36)*Z36</f>
        <v>0</v>
      </c>
      <c r="CT36">
        <f>Nbal!CB36</f>
        <v>17</v>
      </c>
      <c r="CU36">
        <f>Nbal!EV36</f>
        <v>0</v>
      </c>
      <c r="CV36">
        <f>(CT36+CU36)*Z36</f>
        <v>64.259999999999991</v>
      </c>
      <c r="CW36">
        <f>Nbal!BA36+Nbal!CB36+Nbal!EC36+Nbal!EV36</f>
        <v>17</v>
      </c>
      <c r="CY36">
        <f>Nbal!BD36</f>
        <v>0</v>
      </c>
      <c r="CZ36">
        <f>Nbal!EF36</f>
        <v>0</v>
      </c>
      <c r="DA36">
        <f>(CY36+CZ36)*Z36</f>
        <v>0</v>
      </c>
      <c r="DB36">
        <f>Nbal!CE36</f>
        <v>47</v>
      </c>
      <c r="DC36">
        <f>Nbal!EY36</f>
        <v>0</v>
      </c>
      <c r="DD36">
        <f>(DB36+DC36)*Z36</f>
        <v>177.66</v>
      </c>
      <c r="DE36">
        <f>Nbal!BD36+Nbal!CE36+Nbal!EF36+Nbal!EY36</f>
        <v>47</v>
      </c>
      <c r="DG36">
        <f>VLOOKUP($R36,Afgr,Data!$AW$3)</f>
        <v>11.1875</v>
      </c>
      <c r="DH36">
        <f>IF($AO36="FE",$AM36*$AP36*$DG36*0.01,$AM36*100*$DM36*0.01*$DG36*0.01)</f>
        <v>532.52499999999998</v>
      </c>
      <c r="DI36">
        <f>IF(VLOOKUP(R36,Afgr,Data!$BO$3)=1,DH36,0)*Z36</f>
        <v>2012.9444999999998</v>
      </c>
      <c r="DJ36" s="12">
        <f>(BZ36+CC36+CJ36-AE36)*VLOOKUP($R36,Afgr,Data!$AX$3)</f>
        <v>-1.6600000000000001</v>
      </c>
      <c r="DK36">
        <f>DG36+DJ36</f>
        <v>9.5274999999999999</v>
      </c>
      <c r="DL36">
        <f>IF(Nbal!CQ36&lt;&gt;"",Nbal!CQ36,DK36)</f>
        <v>9.5274999999999999</v>
      </c>
      <c r="DM36">
        <f>VLOOKUP(R36,Afgr,Data!$AT$3)</f>
        <v>85</v>
      </c>
      <c r="DN36">
        <f>IF($AO36="FE",$AM36*$AP36*$DL36*0.01,$AM36*100*$DM36*0.01*DL36*0.01)</f>
        <v>453.50900000000001</v>
      </c>
      <c r="DO36">
        <f>IF(VLOOKUP(R36,Afgr,Data!$BO$3)=1,DN36,0)*Z36</f>
        <v>1714.2640200000001</v>
      </c>
      <c r="DP36">
        <f>IF(ISERROR(DN36/VLOOKUP(R36,Afgr,Data!$AY$3)),0,DN36/VLOOKUP(R36,Afgr,Data!$AY$3))</f>
        <v>72.561440000000005</v>
      </c>
      <c r="DQ36">
        <f>DP36*Z36</f>
        <v>274.28224319999998</v>
      </c>
      <c r="DS36">
        <f>IF($AO36="FE",$AM36*$AP36*VLOOKUP($R36,Afgr,Data!$BC$3)*0.001,$AM36*100*$DM36*0.01*VLOOKUP($R36,Afgr,Data!$BC$3)*0.001)</f>
        <v>18.088000000000001</v>
      </c>
      <c r="DT36">
        <f>DS36*Z36</f>
        <v>68.372640000000004</v>
      </c>
      <c r="DV36">
        <f>IF($AO36="FE",$AM36*$AP36*VLOOKUP($R36,Afgr,Data!$BF$3)*0.001,$AM36*100*$DM36*0.01*VLOOKUP($R36,Afgr,Data!$BF$3)*0.001)</f>
        <v>22.372</v>
      </c>
      <c r="DW36">
        <f>DV36*Z36</f>
        <v>84.566159999999996</v>
      </c>
      <c r="DY36">
        <f>IF(ISERROR(VLOOKUP(R36,Afgr,Data!$AZ$3)*DL36/DG36),0,VLOOKUP(R36,Afgr,Data!$AZ$3)*DL36/DG36)</f>
        <v>3.4064804469273744</v>
      </c>
      <c r="DZ36">
        <f>VLOOKUP(R36,Afgr,Data!$AU$3)</f>
        <v>85</v>
      </c>
      <c r="EA36">
        <f>IF($S36=1,$BC36*$DZ36*0.01*DY36*0.01,0)</f>
        <v>86.865251396648063</v>
      </c>
      <c r="EB36">
        <f>EA36/6.25</f>
        <v>13.898440223463689</v>
      </c>
      <c r="EC36">
        <f>EB36*Z36</f>
        <v>52.536104044692742</v>
      </c>
      <c r="EE36">
        <f>IF($S36=1,$BC36*$DZ36*0.01*VLOOKUP($R36,Afgr,Data!$BD$3)*0.001,0)</f>
        <v>2.2949999999999999</v>
      </c>
      <c r="EF36">
        <f>EE36*Z36</f>
        <v>8.6750999999999987</v>
      </c>
      <c r="EH36">
        <f>IF($S36=1,$BC36*$DZ36*0.01*VLOOKUP($R36,Afgr,Data!$BG$3)*0.001,0)</f>
        <v>30.6</v>
      </c>
      <c r="EI36">
        <f>EH36*Z36</f>
        <v>115.66800000000001</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90.944999999999993</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27</v>
      </c>
      <c r="FG36" s="211">
        <f>FF36*Z36</f>
        <v>102.05999999999999</v>
      </c>
      <c r="FH36" s="211">
        <f>CE36+CH36+CO36</f>
        <v>87</v>
      </c>
      <c r="FI36" s="211">
        <f>FH36*Z36</f>
        <v>328.85999999999996</v>
      </c>
      <c r="FJ36">
        <f>VLOOKUP($R36,Afgr,Data!$DK$3)*VLOOKUP($R36,Afgr,Data!$AT$3)*0.01*VLOOKUP($R36,Afgr,Data!$AW$3)*0.01/6.25</f>
        <v>2.4344000000000001</v>
      </c>
      <c r="FK36">
        <f>FJ36*Z36</f>
        <v>9.2020319999999991</v>
      </c>
      <c r="FL36" s="4">
        <f>IF(R36&gt;1,Deposition,0)</f>
        <v>15</v>
      </c>
      <c r="FM36" s="4">
        <f>FL36*Z36</f>
        <v>56.699999999999996</v>
      </c>
      <c r="FN36">
        <f>FC36</f>
        <v>0</v>
      </c>
      <c r="FO36">
        <f>FN36*Z36</f>
        <v>0</v>
      </c>
      <c r="FP36" s="211">
        <f>SUM(FF36,FH36,FJ36,FL36,FN36)</f>
        <v>131.43439999999998</v>
      </c>
      <c r="FQ36">
        <f>DP36+EB36+EL36</f>
        <v>86.459880223463699</v>
      </c>
      <c r="FR36" s="3">
        <f>FP36-FQ36</f>
        <v>44.974519776536283</v>
      </c>
      <c r="FS36" s="19">
        <f>FP36*Z36</f>
        <v>496.82203199999992</v>
      </c>
      <c r="FT36" s="19">
        <f>FQ36*Z36</f>
        <v>326.81834724469275</v>
      </c>
      <c r="FU36" s="3">
        <f>FR36*Z36</f>
        <v>170.00368475530715</v>
      </c>
      <c r="FW36">
        <f>CW36</f>
        <v>17</v>
      </c>
      <c r="FX36">
        <f>FW36*Z36</f>
        <v>64.259999999999991</v>
      </c>
      <c r="FY36">
        <f>IX36+MB36</f>
        <v>20.383000000000003</v>
      </c>
      <c r="FZ36">
        <f>FY36*Z36</f>
        <v>77.047740000000005</v>
      </c>
      <c r="GA36">
        <f>FW36-FY36</f>
        <v>-3.3830000000000027</v>
      </c>
      <c r="GB36">
        <f>GA36*Z36</f>
        <v>-12.78774000000001</v>
      </c>
      <c r="GD36">
        <f>DE36</f>
        <v>47</v>
      </c>
      <c r="GE36">
        <f>GD36*Z36</f>
        <v>177.66</v>
      </c>
      <c r="GF36">
        <f>JE36+MH36</f>
        <v>52.972000000000001</v>
      </c>
      <c r="GG36">
        <f>GF36*Z36</f>
        <v>200.23416</v>
      </c>
      <c r="GH36">
        <f>GD36-GF36</f>
        <v>-5.9720000000000013</v>
      </c>
      <c r="GI36">
        <f>GH36*Z36</f>
        <v>-22.574160000000003</v>
      </c>
      <c r="GK36">
        <f>AA36</f>
        <v>1</v>
      </c>
      <c r="GL36" s="211">
        <f>FF36+FH36+FN36</f>
        <v>114</v>
      </c>
      <c r="GM36" s="211">
        <f>IF(R36=1,"",IF(GK36=1,GL36,""))</f>
        <v>114</v>
      </c>
      <c r="GN36" s="211" t="str">
        <f>IF(R36=1,"",IF(GK36=2,GL36,""))</f>
        <v/>
      </c>
      <c r="GO36" s="211" t="str">
        <f>IF(R36=1,"",IF(GK36=3,GL36,""))</f>
        <v/>
      </c>
      <c r="GP36" s="211" t="str">
        <f>IF(R36=1,"",IF(GK36=4,GL36,""))</f>
        <v/>
      </c>
      <c r="GQ36" s="149">
        <f>IF(OR(R36=1,VLOOKUP(R36,Afgr,Data!$BV$3)=1,VLOOKUP(R36,Afgr,Data!$BW$3)=1),0,IF(GK36=1,Nniveau1,IF(GK36=2,Nniveau2,IF(GK36=3,Nniveau3,IF(GK36=4,Nniveau4,GL36)))))</f>
        <v>197.65542292344122</v>
      </c>
      <c r="GR36" s="222">
        <v>0.32550000000000001</v>
      </c>
      <c r="GS36" s="6">
        <v>0</v>
      </c>
      <c r="GT36" s="149">
        <f>CC36+CM36</f>
        <v>90.944999999999993</v>
      </c>
      <c r="GU36" s="6">
        <f>$FN36</f>
        <v>0</v>
      </c>
      <c r="GV36" s="222">
        <v>0.25280000000000002</v>
      </c>
      <c r="GW36">
        <f>CO36</f>
        <v>0</v>
      </c>
      <c r="GX36" s="222">
        <v>0.376</v>
      </c>
      <c r="GY36" s="149">
        <f>CD36+CN36</f>
        <v>0</v>
      </c>
      <c r="GZ36" s="222">
        <f>IF(B36&gt;3,0.3539,1.0749)</f>
        <v>0.35389999999999999</v>
      </c>
      <c r="HA36" s="11">
        <f>$FQ36</f>
        <v>86.459880223463699</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62.989103350317528</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62.989103350317528</v>
      </c>
      <c r="HQ36" s="222">
        <v>1.5020000000000001E-3</v>
      </c>
      <c r="HR36" s="24">
        <f>IF(R36=1,0,VLOOKUP(PostnrNbal,AfstromData,VLOOKUP($R36,Afgr,Data!$DL$3)+IF(Jordtype1&lt;7,Jordtype1,6),FALSE)-VLOOKUP(T36,Efgr,Data!$AA$53))</f>
        <v>304.76666666666603</v>
      </c>
      <c r="HS36" s="24">
        <f>IF(Nbal!GA36&lt;&gt;"",Nbal!GA36,Regn2!HR36)</f>
        <v>304.76666666666603</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51.773220084389841</v>
      </c>
      <c r="ID36">
        <f>IC36*Z36</f>
        <v>195.70277191899359</v>
      </c>
      <c r="IE36">
        <f>IF(Nbal!GF36&lt;&gt;"",Nbal!GF36,RetentionNbal)</f>
        <v>65</v>
      </c>
      <c r="IF36">
        <f>IC36*(100-IE36)*0.01</f>
        <v>18.120627029536447</v>
      </c>
      <c r="IG36">
        <f>IF36*Z36</f>
        <v>68.49597017164777</v>
      </c>
      <c r="IH36" s="2">
        <f>HS36*10000</f>
        <v>3047666.6666666605</v>
      </c>
      <c r="II36" s="2">
        <f>IH36*Z36</f>
        <v>11520179.999999976</v>
      </c>
      <c r="IJ36">
        <f>IF(ISERROR(IC36*1000*1000/IH36),0,IC36*1000*1000/IH36)</f>
        <v>16.987822405465366</v>
      </c>
      <c r="IL36">
        <f>AT36+AX36+BK36+BU36</f>
        <v>9620</v>
      </c>
      <c r="IO36">
        <f>VLOOKUP(R36,Afgr,Data!$AP$3)*UdsaedJust</f>
        <v>488</v>
      </c>
      <c r="IP36" s="3">
        <f>IF(Nbal!GN36&lt;&gt;"",Nbal!GN36,IO36)</f>
        <v>488</v>
      </c>
      <c r="IQ36" s="3">
        <f>IP36*Z36</f>
        <v>1844.6399999999999</v>
      </c>
      <c r="IS36" s="3">
        <f>IF(HdgVaerdiNbal=1,(BZ36+CA36)*Npris,(BZ36+CA36+CJ36+CK36)*Npris)</f>
        <v>228.14999999999998</v>
      </c>
      <c r="IT36" s="3">
        <f>IS36*Z36</f>
        <v>862.40699999999993</v>
      </c>
      <c r="IV36">
        <f>VLOOKUP($R36,Afgr,Data!$BA$3)</f>
        <v>0</v>
      </c>
      <c r="IW36">
        <f>VLOOKUP($R36,Afgr,Data!$BB$3)</f>
        <v>2.5</v>
      </c>
      <c r="IX36">
        <f>$DS36+$EE36</f>
        <v>20.383000000000003</v>
      </c>
      <c r="IY36">
        <f>CT36</f>
        <v>17</v>
      </c>
      <c r="IZ36">
        <f>CQ36</f>
        <v>0</v>
      </c>
      <c r="JA36" s="3">
        <f>IF(HdgVaerdiNbal=1,(IZ36)*Ppris,(IY36+IZ36)*Ppris)</f>
        <v>0</v>
      </c>
      <c r="JB36" s="3">
        <f>JA36*Z36</f>
        <v>0</v>
      </c>
      <c r="JD36">
        <f>IF(AND(R36&gt;1,OR(Jordtype1=1,Jordtype1=3,Markvand1=2)),Kudvask,0)</f>
        <v>0</v>
      </c>
      <c r="JE36">
        <f>$DV36+$EH36</f>
        <v>52.972000000000001</v>
      </c>
      <c r="JF36">
        <f>DB36</f>
        <v>47</v>
      </c>
      <c r="JG36">
        <f>CY36</f>
        <v>0</v>
      </c>
      <c r="JH36" s="3">
        <f>IF(HdgVaerdiNbal=1,JG36*Kpris,(JF36+JG36)*Kpris)</f>
        <v>0</v>
      </c>
      <c r="JI36" s="3">
        <f>JH36*Z36</f>
        <v>0</v>
      </c>
      <c r="JK36">
        <f>IS36+JA36+JH36</f>
        <v>228.14999999999998</v>
      </c>
      <c r="JL36" s="3">
        <f>IF(Nbal!GT36&lt;&gt;"",Nbal!GT36,$JK36)</f>
        <v>228.14999999999998</v>
      </c>
      <c r="JM36" s="3">
        <f>JL36*Z36</f>
        <v>862.40699999999993</v>
      </c>
      <c r="JO36">
        <f>VLOOKUP(R36,Afgr,Data!$AQ$3)*PlantevJust</f>
        <v>283</v>
      </c>
      <c r="JP36" s="3">
        <f>IF(Nbal!GZ36&lt;&gt;"",Nbal!GZ36,JO36)</f>
        <v>283</v>
      </c>
      <c r="JQ36" s="3">
        <f>JP36*Z36</f>
        <v>1069.74</v>
      </c>
      <c r="JS36">
        <f>VLOOKUP(R36,Afgr,Data!$AR$3)+AM36*VLOOKUP(R36,Afgr,Data!$BH$3)</f>
        <v>0</v>
      </c>
      <c r="JT36" s="3">
        <f>IF(Nbal!HF36&lt;&gt;"",Nbal!HF36,JS36)</f>
        <v>0</v>
      </c>
      <c r="JU36">
        <f>JT36*Z36</f>
        <v>0</v>
      </c>
      <c r="JW36">
        <f>IP36+JL36+JP36+JT36</f>
        <v>999.15</v>
      </c>
      <c r="JY36">
        <f>IF(VLOOKUP(R36,Afgr,Data!$BY$3)&gt;0,Data!$K$259*J36,0)</f>
        <v>600</v>
      </c>
      <c r="JZ36">
        <f>IF(VLOOKUP(R36,Afgr,Data!$BZ$3)&gt;0,Data!$K$260*J36,0)</f>
        <v>0</v>
      </c>
      <c r="KA36">
        <f>(JY36+JZ36)*MaskJust</f>
        <v>600</v>
      </c>
      <c r="KB36" s="3">
        <f>IF(Nbal!HL36&lt;&gt;"",Nbal!HL36,KA36)</f>
        <v>600</v>
      </c>
      <c r="KC36" s="3">
        <f>KB36*Z36</f>
        <v>2268</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1323</v>
      </c>
      <c r="KP36">
        <f>IF(VLOOKUP(R36,Afgr,Data!$CJ$3)&gt;0,VLOOKUP(R36,Afgr,Data!$CJ$3)*Data!$K$268*K36,0)*MaskJust</f>
        <v>140</v>
      </c>
      <c r="KQ36" s="3">
        <f>IF(Nbal!HX36&lt;&gt;"",Nbal!HX36,KP36)</f>
        <v>140</v>
      </c>
      <c r="KR36" s="3">
        <f>KQ36*Z36</f>
        <v>529.19999999999993</v>
      </c>
      <c r="KT36">
        <f>IF(VLOOKUP(R36,Afgr,Data!$CI$3)&gt;0,VLOOKUP(R36,Afgr,Data!$CI$3)*Data!$K$269,0)*MaskJust</f>
        <v>300</v>
      </c>
      <c r="KU36" s="3">
        <f>IF(Nbal!ID36&lt;&gt;"",Nbal!ID36,KT36)</f>
        <v>300</v>
      </c>
      <c r="KV36" s="3">
        <f>KU36*Z36</f>
        <v>1134</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746.47058823529403</v>
      </c>
      <c r="LE36">
        <f>IF(VLOOKUP($R36,Afgr,Data!$CK$3)&gt;0,IF(AND($S36=2,$BA36&gt;0),Data!$K$271,0),0)</f>
        <v>0</v>
      </c>
      <c r="LF36">
        <f>IF(VLOOKUP($R36,Afgr,Data!$CK$3)&gt;0,(AM36/VLOOKUP($R36,Afgr,Data!$CK$3))*VLOOKUP($R36,Afgr,Data!$CO$3)*VLOOKUP($R36,Afgr,Data!$CN$3),0)</f>
        <v>214.11764705882354</v>
      </c>
      <c r="LG36">
        <f>(LD36+LE36+LF36)*MaskJust</f>
        <v>960.58823529411757</v>
      </c>
      <c r="LH36" s="3">
        <f>IF(Nbal!IV36&lt;&gt;"",Nbal!IV36,LG36)</f>
        <v>960.58823529411757</v>
      </c>
      <c r="LI36" s="3">
        <f>LH36*Z36</f>
        <v>3631.0235294117642</v>
      </c>
      <c r="LJ36" s="3"/>
      <c r="LK36">
        <f>IF(AND($S36=1,VLOOKUP($R36,Afgr,Data!$CP$3)&gt;0),((1+$BC36/VLOOKUP($R36,Afgr,Data!$CP$3))/2)*VLOOKUP($R36,Afgr,Data!$CQ$3),0)</f>
        <v>525</v>
      </c>
      <c r="LL36">
        <f>IF(AND($S36=1,VLOOKUP($R36,Afgr,Data!$CP$3)&gt;0),($BC36/VLOOKUP($R36,Afgr,Data!$CP$3))*VLOOKUP($R36,Afgr,Data!$CR$3),0)</f>
        <v>200</v>
      </c>
      <c r="LM36">
        <f>(LK36+LL36)*MaskJust</f>
        <v>725</v>
      </c>
      <c r="LN36" s="3">
        <f>IF(Nbal!JB36&lt;&gt;"",Nbal!JB36,LM36)</f>
        <v>725</v>
      </c>
      <c r="LO36" s="3">
        <f>LN36*Z36</f>
        <v>2740.5</v>
      </c>
      <c r="LQ36">
        <f>$AM36*VLOOKUP($R36,Afgr,Data!$CS$3)*IF($V36=1,VLOOKUP($R36,Afgr,Data!$CT$3),IF($V36=2,VLOOKUP($R36,Afgr,Data!$CU$3),0))</f>
        <v>517.44000000000005</v>
      </c>
      <c r="LR36" s="3">
        <f>IF(Nbal!JK36&lt;&gt;"",Nbal!JK36,LQ36)</f>
        <v>517.44000000000005</v>
      </c>
      <c r="LS36" s="3">
        <f>LR36*Z36</f>
        <v>1955.9232000000002</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9620</v>
      </c>
      <c r="OE36">
        <f>JW36+MZ36</f>
        <v>999.15</v>
      </c>
      <c r="OF36">
        <f>OD36-OE36</f>
        <v>8620.85</v>
      </c>
      <c r="OG36">
        <f>OF36*Z36</f>
        <v>32586.812999999998</v>
      </c>
      <c r="OJ36">
        <f>VLOOKUP($O36,Afgr,Data!$BP$3)+VLOOKUP($P36,Efgr,Data!$AM$53)</f>
        <v>1</v>
      </c>
      <c r="OK36" s="3">
        <f>OJ36*Z36</f>
        <v>3.78</v>
      </c>
      <c r="OL36">
        <f>VLOOKUP($R36,Afgr,Data!$BP$3)+VLOOKUP($T36,Efgr,Data!$AM$53)</f>
        <v>1</v>
      </c>
      <c r="OM36" s="3">
        <f>OL36*Z36</f>
        <v>3.78</v>
      </c>
      <c r="OO36">
        <f>VLOOKUP($P36,Efgr,Data!$AN$53)</f>
        <v>0</v>
      </c>
      <c r="OP36">
        <f>VLOOKUP($O36,Afgr,Data!$BQ$3)</f>
        <v>1</v>
      </c>
      <c r="OQ36">
        <f>VLOOKUP($R36,Afgr,Data!$BR$3)</f>
        <v>1</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0</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0</v>
      </c>
      <c r="PR36">
        <f>IF(PQ36&gt;0,Z36,0)</f>
        <v>0</v>
      </c>
      <c r="PT36">
        <f>VLOOKUP($O36,Afgr,Data!$BT$3)</f>
        <v>1</v>
      </c>
      <c r="PU36" s="3">
        <f>PT36*Z36</f>
        <v>3.78</v>
      </c>
      <c r="PV36">
        <f>VLOOKUP($R36,Afgr,Data!$BT$3)</f>
        <v>1</v>
      </c>
      <c r="PW36" s="3">
        <f>PV36*Z36</f>
        <v>3.78</v>
      </c>
      <c r="PY36">
        <f>VLOOKUP($R36,Afgr,Data!$BV$3)</f>
        <v>0</v>
      </c>
      <c r="PZ36">
        <f>PY36*Z36</f>
        <v>0</v>
      </c>
      <c r="QB36">
        <f>VLOOKUP($R36,Afgr,Data!$BW$3)</f>
        <v>0</v>
      </c>
      <c r="QC36">
        <f>QB36*Z36</f>
        <v>0</v>
      </c>
      <c r="QE36">
        <f>AM36*IF(VLOOKUP($R36,Afgr,Data!$BJ$3)&gt;0,1,0)</f>
        <v>56</v>
      </c>
      <c r="QF36">
        <f>QE36*Z36</f>
        <v>211.67999999999998</v>
      </c>
      <c r="QH36">
        <f>AM36*VLOOKUP(R36,Afgr,Data!$BK$3)</f>
        <v>5292</v>
      </c>
      <c r="QI36">
        <f>Z36*QH36</f>
        <v>20003.759999999998</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21591.359999999997</v>
      </c>
      <c r="QS36">
        <f>IF(VLOOKUP($R36,Afgr,Data!$DA$3)="Vinterbyg",$AN36,0)*VLOOKUP($R36,Afgr,Data!$BJ$3)</f>
        <v>0</v>
      </c>
      <c r="QT36">
        <f>IF(VLOOKUP($R36,Afgr,Data!$DA$3)="Havre",$AN36,0)*VLOOKUP($R36,Afgr,Data!$BJ$3)</f>
        <v>0</v>
      </c>
      <c r="QU36">
        <f>IF(VLOOKUP($R36,Afgr,Data!$DA$3)="Hvede",$AN36,0)*VLOOKUP($R36,Afgr,Data!$BJ$3)</f>
        <v>0</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1.08</v>
      </c>
      <c r="RJ36">
        <f>((CJ36+CK36+CL36+Regn2!CO36*0.7)-(RR36+RT36))*VLOOKUP(B36,Jordtype,Data!$AE$112+DenitNr-1)</f>
        <v>7.9550625000000013</v>
      </c>
      <c r="RK36">
        <f>0*VLOOKUP(B36,Jordtype,Data!$AE$112+DenitNr-1)</f>
        <v>0</v>
      </c>
      <c r="RL36">
        <f>Regn2!FD36*VLOOKUP(B36,Jordtype,Data!$AH$112+DenitNr-1)</f>
        <v>0</v>
      </c>
      <c r="RM36" s="3">
        <f>RH36+RI36+RJ36+RK36+RL36</f>
        <v>16.285062500000002</v>
      </c>
      <c r="RO36">
        <v>2</v>
      </c>
      <c r="RP36">
        <f>(FF36)*RO36*0.01</f>
        <v>0.54</v>
      </c>
      <c r="RQ36">
        <v>7</v>
      </c>
      <c r="RR36">
        <f>CE36*RQ36*0.01</f>
        <v>0</v>
      </c>
      <c r="RS36">
        <v>7</v>
      </c>
      <c r="RT36">
        <f>(Regn2!CF36+Regn2!CG36)*RS36*0.01</f>
        <v>6.09</v>
      </c>
      <c r="RW36">
        <f>VLOOKUP(R36,Afgr,Data!$EE$3)</f>
        <v>5</v>
      </c>
      <c r="RX36" s="3">
        <f>RP36+RR36+RT36+RV36+RW36</f>
        <v>11.629999999999999</v>
      </c>
    </row>
    <row r="38" spans="1:492" x14ac:dyDescent="0.25">
      <c r="A38" s="214" t="str">
        <f>Nbal!B38</f>
        <v>16-0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35</v>
      </c>
      <c r="P38">
        <v>1</v>
      </c>
      <c r="Q38" t="b">
        <v>0</v>
      </c>
      <c r="R38">
        <v>40</v>
      </c>
      <c r="S38">
        <v>1</v>
      </c>
      <c r="T38">
        <v>5</v>
      </c>
      <c r="U38">
        <v>1</v>
      </c>
      <c r="V38">
        <v>1</v>
      </c>
      <c r="X38">
        <v>40</v>
      </c>
      <c r="Z38">
        <f>Nbal!AG38</f>
        <v>0.72</v>
      </c>
      <c r="AA38">
        <v>1</v>
      </c>
      <c r="AB38">
        <f>VLOOKUP($R38,Afgr,G38)</f>
        <v>110</v>
      </c>
      <c r="AC38">
        <f>VLOOKUP($O38,Afgr,Data!$AI$3)*VLOOKUP(R38,Afgr,Data!$AJ$3)</f>
        <v>0</v>
      </c>
      <c r="AD38">
        <f>IF($Q38,0,VLOOKUP($P38,Efgr,(Data!$W$53+$V$6-1)))</f>
        <v>0</v>
      </c>
      <c r="AE38">
        <f>AB38-AC38-AD38</f>
        <v>110</v>
      </c>
      <c r="AF38">
        <f>AE38*Z38</f>
        <v>79.2</v>
      </c>
      <c r="AH38">
        <f>VLOOKUP(R38,Afgr,D38)</f>
        <v>56</v>
      </c>
      <c r="AI38">
        <f>VLOOKUP(O38,Afgr,Data!$AL$3)*VLOOKUP(R38,Afgr,E38)</f>
        <v>0</v>
      </c>
      <c r="AJ38">
        <f>VLOOKUP(P38,Efgr,(Data!$Y$53+I38))</f>
        <v>0</v>
      </c>
      <c r="AK38">
        <f>AH38+AI38+AJ38</f>
        <v>56</v>
      </c>
      <c r="AL38">
        <f>AH38+AI38+AJ38</f>
        <v>56</v>
      </c>
      <c r="AM38" s="3">
        <f>IF(Nbal!CK38&lt;&gt;"",Nbal!CK38,AL38)</f>
        <v>56</v>
      </c>
      <c r="AN38">
        <f>AM38*Z38</f>
        <v>40.32</v>
      </c>
      <c r="AO38" t="str">
        <f>VLOOKUP(R38,Afgr,3)</f>
        <v>hkg</v>
      </c>
      <c r="AP38">
        <f>IF(AO38="FE",VLOOKUP($R38,Afgr,Data!$AV$3),0)</f>
        <v>0</v>
      </c>
      <c r="AR38">
        <f>VLOOKUP(R38,Afgr,4)</f>
        <v>145</v>
      </c>
      <c r="AS38" s="3">
        <f>IF(Nbal!CW38&lt;&gt;"",Nbal!CW38,AR38)</f>
        <v>145</v>
      </c>
      <c r="AT38" s="3">
        <f>AM38*AS38</f>
        <v>8120</v>
      </c>
      <c r="AU38" s="3">
        <f>AN38*AS38</f>
        <v>5846.4</v>
      </c>
      <c r="AW38">
        <f>VLOOKUP(R38,Afgr,Data!$AN$3)</f>
        <v>0</v>
      </c>
      <c r="AX38" s="3">
        <f>IF(Nbal!DC38&lt;&gt;"",Nbal!DC38,AW38)</f>
        <v>0</v>
      </c>
      <c r="AY38" s="3">
        <f>AX38*Z38</f>
        <v>0</v>
      </c>
      <c r="BA38">
        <f>VLOOKUP(R38,Afgr,H38)</f>
        <v>3000</v>
      </c>
      <c r="BB38">
        <f>IF(ISERROR(BA38*AM38/AK38),0,(BA38*AM38/AK38))</f>
        <v>3000</v>
      </c>
      <c r="BC38" s="3">
        <f>IF(Nbal!DI38&lt;&gt;"",Nbal!DI38,BB38)</f>
        <v>3000</v>
      </c>
      <c r="BD38">
        <f>BC38*Z38</f>
        <v>2160</v>
      </c>
      <c r="BG38">
        <f>IF($S38=1,BC38,0)</f>
        <v>3000</v>
      </c>
      <c r="BH38">
        <f>IF($S38=1,BD38,0)</f>
        <v>2160</v>
      </c>
      <c r="BI38">
        <f>VLOOKUP(R38,Afgr,Data!$AM$3)</f>
        <v>0.5</v>
      </c>
      <c r="BJ38">
        <f>IF(Nbal!DR38&lt;&gt;"",Nbal!DR38,BI38)</f>
        <v>0.5</v>
      </c>
      <c r="BK38">
        <f>BG38*BJ38</f>
        <v>1500</v>
      </c>
      <c r="BL38">
        <f>BH38*BJ38</f>
        <v>1080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27</v>
      </c>
      <c r="CB38" s="2">
        <f>Nbal!DZ38</f>
        <v>0</v>
      </c>
      <c r="CC38" s="211">
        <f>Nbal!AT38+Nbal!DZ38</f>
        <v>27</v>
      </c>
      <c r="CD38" s="211">
        <f>Nbal!AX38</f>
        <v>0</v>
      </c>
      <c r="CE38">
        <f>Nbal!BH38</f>
        <v>0</v>
      </c>
      <c r="CF38" s="211">
        <f>Nbal!BM38</f>
        <v>87</v>
      </c>
      <c r="CG38" s="2">
        <f>Nbal!EI38</f>
        <v>0</v>
      </c>
      <c r="CH38" s="211">
        <f>Nbal!BM38+Nbal!EI38</f>
        <v>87</v>
      </c>
      <c r="CI38" s="211">
        <f>Nbal!BW38</f>
        <v>0</v>
      </c>
      <c r="CJ38" s="211">
        <f>Nbal!BH38*Nbal!BJ38*0.01</f>
        <v>0</v>
      </c>
      <c r="CK38" s="211">
        <f>(Nbal!BM38*Nbal!BP38*0.01)</f>
        <v>63.945</v>
      </c>
      <c r="CL38" s="211">
        <f>(Nbal!EI38*Nbal!EL38*0.01)</f>
        <v>0</v>
      </c>
      <c r="CM38" s="211">
        <f>(Nbal!BM38*Nbal!BP38*0.01)+(Nbal!EI38*Nbal!EL38*0.01)</f>
        <v>63.945</v>
      </c>
      <c r="CN38" s="211">
        <f>Nbal!BW38*Nbal!BY38*0.01</f>
        <v>0</v>
      </c>
      <c r="CO38">
        <f>Nbal!BT38+Nbal!ER38</f>
        <v>0</v>
      </c>
      <c r="CQ38">
        <f>Nbal!BA38</f>
        <v>0</v>
      </c>
      <c r="CR38">
        <f>Nbal!EC38</f>
        <v>0</v>
      </c>
      <c r="CS38">
        <f>(CQ38+CR38)*Z38</f>
        <v>0</v>
      </c>
      <c r="CT38">
        <f>Nbal!CB38</f>
        <v>17</v>
      </c>
      <c r="CU38">
        <f>Nbal!EV38</f>
        <v>0</v>
      </c>
      <c r="CV38">
        <f>(CT38+CU38)*Z38</f>
        <v>12.24</v>
      </c>
      <c r="CW38">
        <f>Nbal!BA38+Nbal!CB38+Nbal!EC38+Nbal!EV38</f>
        <v>17</v>
      </c>
      <c r="CY38">
        <f>Nbal!BD38</f>
        <v>0</v>
      </c>
      <c r="CZ38">
        <f>Nbal!EF38</f>
        <v>0</v>
      </c>
      <c r="DA38">
        <f>(CY38+CZ38)*Z38</f>
        <v>0</v>
      </c>
      <c r="DB38">
        <f>Nbal!CE38</f>
        <v>47</v>
      </c>
      <c r="DC38">
        <f>Nbal!EY38</f>
        <v>0</v>
      </c>
      <c r="DD38">
        <f>(DB38+DC38)*Z38</f>
        <v>33.839999999999996</v>
      </c>
      <c r="DE38">
        <f>Nbal!BD38+Nbal!CE38+Nbal!EF38+Nbal!EY38</f>
        <v>47</v>
      </c>
      <c r="DG38">
        <f>VLOOKUP($R38,Afgr,Data!$AW$3)</f>
        <v>11.1875</v>
      </c>
      <c r="DH38">
        <f>IF($AO38="FE",$AM38*$AP38*$DG38*0.01,$AM38*100*$DM38*0.01*$DG38*0.01)</f>
        <v>532.52499999999998</v>
      </c>
      <c r="DI38">
        <f>IF(VLOOKUP(R38,Afgr,Data!$BO$3)=1,DH38,0)*Z38</f>
        <v>383.41799999999995</v>
      </c>
      <c r="DJ38" s="12">
        <f>(BZ38+CC38+CJ38-AE38)*VLOOKUP($R38,Afgr,Data!$AX$3)</f>
        <v>-1.6600000000000001</v>
      </c>
      <c r="DK38">
        <f>DG38+DJ38</f>
        <v>9.5274999999999999</v>
      </c>
      <c r="DL38">
        <f>IF(Nbal!CQ38&lt;&gt;"",Nbal!CQ38,DK38)</f>
        <v>9.5274999999999999</v>
      </c>
      <c r="DM38">
        <f>VLOOKUP(R38,Afgr,Data!$AT$3)</f>
        <v>85</v>
      </c>
      <c r="DN38">
        <f>IF($AO38="FE",$AM38*$AP38*$DL38*0.01,$AM38*100*$DM38*0.01*DL38*0.01)</f>
        <v>453.50900000000001</v>
      </c>
      <c r="DO38">
        <f>IF(VLOOKUP(R38,Afgr,Data!$BO$3)=1,DN38,0)*Z38</f>
        <v>326.52647999999999</v>
      </c>
      <c r="DP38">
        <f>IF(ISERROR(DN38/VLOOKUP(R38,Afgr,Data!$AY$3)),0,DN38/VLOOKUP(R38,Afgr,Data!$AY$3))</f>
        <v>72.561440000000005</v>
      </c>
      <c r="DQ38">
        <f>DP38*Z38</f>
        <v>52.244236800000003</v>
      </c>
      <c r="DS38">
        <f>IF($AO38="FE",$AM38*$AP38*VLOOKUP($R38,Afgr,Data!$BC$3)*0.001,$AM38*100*$DM38*0.01*VLOOKUP($R38,Afgr,Data!$BC$3)*0.001)</f>
        <v>18.088000000000001</v>
      </c>
      <c r="DT38">
        <f>DS38*Z38</f>
        <v>13.02336</v>
      </c>
      <c r="DV38">
        <f>IF($AO38="FE",$AM38*$AP38*VLOOKUP($R38,Afgr,Data!$BF$3)*0.001,$AM38*100*$DM38*0.01*VLOOKUP($R38,Afgr,Data!$BF$3)*0.001)</f>
        <v>22.372</v>
      </c>
      <c r="DW38">
        <f>DV38*Z38</f>
        <v>16.107839999999999</v>
      </c>
      <c r="DY38">
        <f>IF(ISERROR(VLOOKUP(R38,Afgr,Data!$AZ$3)*DL38/DG38),0,VLOOKUP(R38,Afgr,Data!$AZ$3)*DL38/DG38)</f>
        <v>3.4064804469273744</v>
      </c>
      <c r="DZ38">
        <f>VLOOKUP(R38,Afgr,Data!$AU$3)</f>
        <v>85</v>
      </c>
      <c r="EA38">
        <f>IF($S38=1,$BC38*$DZ38*0.01*DY38*0.01,0)</f>
        <v>86.865251396648063</v>
      </c>
      <c r="EB38">
        <f>EA38/6.25</f>
        <v>13.898440223463689</v>
      </c>
      <c r="EC38">
        <f>EB38*Z38</f>
        <v>10.006876960893855</v>
      </c>
      <c r="EE38">
        <f>IF($S38=1,$BC38*$DZ38*0.01*VLOOKUP($R38,Afgr,Data!$BD$3)*0.001,0)</f>
        <v>2.2949999999999999</v>
      </c>
      <c r="EF38">
        <f>EE38*Z38</f>
        <v>1.6523999999999999</v>
      </c>
      <c r="EH38">
        <f>IF($S38=1,$BC38*$DZ38*0.01*VLOOKUP($R38,Afgr,Data!$BG$3)*0.001,0)</f>
        <v>30.6</v>
      </c>
      <c r="EI38">
        <f>EH38*Z38</f>
        <v>22.032</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90.944999999999993</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27</v>
      </c>
      <c r="FG38" s="211">
        <f>FF38*Z38</f>
        <v>19.439999999999998</v>
      </c>
      <c r="FH38" s="211">
        <f>CE38+CH38+CO38</f>
        <v>87</v>
      </c>
      <c r="FI38" s="211">
        <f>FH38*Z38</f>
        <v>62.64</v>
      </c>
      <c r="FJ38">
        <f>VLOOKUP($R38,Afgr,Data!$DK$3)*VLOOKUP($R38,Afgr,Data!$AT$3)*0.01*VLOOKUP($R38,Afgr,Data!$AW$3)*0.01/6.25</f>
        <v>2.4344000000000001</v>
      </c>
      <c r="FK38">
        <f>FJ38*Z38</f>
        <v>1.7527680000000001</v>
      </c>
      <c r="FL38" s="4">
        <f>IF(R38&gt;1,Deposition,0)</f>
        <v>15</v>
      </c>
      <c r="FM38" s="4">
        <f>FL38*Z38</f>
        <v>10.799999999999999</v>
      </c>
      <c r="FN38">
        <f>FC38</f>
        <v>0</v>
      </c>
      <c r="FO38">
        <f>FN38*Z38</f>
        <v>0</v>
      </c>
      <c r="FP38" s="211">
        <f>SUM(FF38,FH38,FJ38,FL38,FN38)</f>
        <v>131.43439999999998</v>
      </c>
      <c r="FQ38">
        <f>DP38+EB38+EL38</f>
        <v>86.459880223463699</v>
      </c>
      <c r="FR38" s="3">
        <f>FP38-FQ38</f>
        <v>44.974519776536283</v>
      </c>
      <c r="FS38" s="19">
        <f>FP38*Z38</f>
        <v>94.632767999999984</v>
      </c>
      <c r="FT38" s="19">
        <f>FQ38*Z38</f>
        <v>62.251113760893858</v>
      </c>
      <c r="FU38" s="3">
        <f>FR38*Z38</f>
        <v>32.381654239106126</v>
      </c>
      <c r="FW38">
        <f>CW38</f>
        <v>17</v>
      </c>
      <c r="FX38">
        <f>FW38*Z38</f>
        <v>12.24</v>
      </c>
      <c r="FY38">
        <f>IX38+MB38</f>
        <v>20.383000000000003</v>
      </c>
      <c r="FZ38">
        <f>FY38*Z38</f>
        <v>14.675760000000002</v>
      </c>
      <c r="GA38">
        <f>FW38-FY38</f>
        <v>-3.3830000000000027</v>
      </c>
      <c r="GB38">
        <f>GA38*Z38</f>
        <v>-2.4357600000000019</v>
      </c>
      <c r="GD38">
        <f>DE38</f>
        <v>47</v>
      </c>
      <c r="GE38">
        <f>GD38*Z38</f>
        <v>33.839999999999996</v>
      </c>
      <c r="GF38">
        <f>JE38+MH38</f>
        <v>52.972000000000001</v>
      </c>
      <c r="GG38">
        <f>GF38*Z38</f>
        <v>38.13984</v>
      </c>
      <c r="GH38">
        <f>GD38-GF38</f>
        <v>-5.9720000000000013</v>
      </c>
      <c r="GI38">
        <f>GH38*Z38</f>
        <v>-4.2998400000000006</v>
      </c>
      <c r="GK38">
        <f>AA38</f>
        <v>1</v>
      </c>
      <c r="GL38" s="211">
        <f>FF38+FH38+FN38</f>
        <v>114</v>
      </c>
      <c r="GM38" s="211">
        <f>IF(R38=1,"",IF(GK38=1,GL38,""))</f>
        <v>114</v>
      </c>
      <c r="GN38" s="211" t="str">
        <f>IF(R38=1,"",IF(GK38=2,GL38,""))</f>
        <v/>
      </c>
      <c r="GO38" s="211" t="str">
        <f>IF(R38=1,"",IF(GK38=3,GL38,""))</f>
        <v/>
      </c>
      <c r="GP38" s="211" t="str">
        <f>IF(R38=1,"",IF(GK38=4,GL38,""))</f>
        <v/>
      </c>
      <c r="GQ38" s="149">
        <f>IF(OR(R38=1,VLOOKUP(R38,Afgr,Data!$BV$3)=1,VLOOKUP(R38,Afgr,Data!$BW$3)=1),0,IF(GK38=1,Nniveau1,IF(GK38=2,Nniveau2,IF(GK38=3,Nniveau3,IF(GK38=4,Nniveau4,GL38)))))</f>
        <v>197.65542292344122</v>
      </c>
      <c r="GR38" s="241">
        <v>0.32550000000000001</v>
      </c>
      <c r="GS38" s="6">
        <v>0</v>
      </c>
      <c r="GT38" s="149">
        <f>CC38+CM38</f>
        <v>90.944999999999993</v>
      </c>
      <c r="GU38" s="6">
        <f>$FN38</f>
        <v>0</v>
      </c>
      <c r="GV38" s="241">
        <v>0.25280000000000002</v>
      </c>
      <c r="GW38">
        <f>CO38</f>
        <v>0</v>
      </c>
      <c r="GX38" s="241">
        <v>0.376</v>
      </c>
      <c r="GY38" s="149">
        <f>CD38+CN38</f>
        <v>0</v>
      </c>
      <c r="GZ38" s="241">
        <f>IF(B38&gt;3,0.3539,1.0749)</f>
        <v>0.35389999999999999</v>
      </c>
      <c r="HA38" s="11">
        <f>$FQ38</f>
        <v>86.459880223463699</v>
      </c>
      <c r="HB38" s="241">
        <v>0.19359999999999999</v>
      </c>
      <c r="HC38" s="241">
        <f>VLOOKUP($R38,Afgr,Data!$DM$3)</f>
        <v>1</v>
      </c>
      <c r="HD38" s="24">
        <f>IF($HC38&gt;1,0,(VLOOKUP($X38,Afgr,Data!$DP$3)+IF(VLOOKUP($X38,Afgr,Data!$DP$3)=0,VLOOKUP($T38,Efgr,Data!$BI$53,0))))+IF(AND($HC38=7,VLOOKUP($X38,Afgr,Data!$DQ$3)=-2),-2,0)+IF(AND($HC38=6,VLOOKUP($T38,Efgr,Data!$BI$53)=2),8,0)</f>
        <v>2</v>
      </c>
      <c r="HE38" s="6">
        <f>VLOOKUP(SUM(HC38:HD38),Nlesafgr,3)</f>
        <v>-98.6</v>
      </c>
      <c r="HF38" s="7">
        <f>VLOOKUP($O38,Afgr,Data!$DN$3)</f>
        <v>1</v>
      </c>
      <c r="HG38" s="24">
        <f>IF(HF38&gt;1,0,VLOOKUP($R38,Afgr,Data!$DO$3)+IF(VLOOKUP($R38,Afgr,Data!$DO$3)=1,0,VLOOKUP($P38,Efgr,Data!$BJ$53)))</f>
        <v>0</v>
      </c>
      <c r="HH38" s="6">
        <f>VLOOKUP(SUM(HF38:HG38),Nlesforfrugt,3)</f>
        <v>0</v>
      </c>
      <c r="HI38" s="241">
        <f>GR38*GQ38+GV38*(GT38+GU38)+GX38*GW38+GZ38*GY38-HB38*HA38+HE38+HH38</f>
        <v>-28.010896649682465</v>
      </c>
      <c r="HJ38" s="241">
        <f>Nlesafskaering</f>
        <v>59.6</v>
      </c>
      <c r="HK38" s="241">
        <f>Teknologi1</f>
        <v>2455</v>
      </c>
      <c r="HL38" s="6">
        <v>2001</v>
      </c>
      <c r="HM38" s="241">
        <f>Teknologi2</f>
        <v>1962.2</v>
      </c>
      <c r="HN38" s="241">
        <f>Tandel</f>
        <v>0.54659999999999997</v>
      </c>
      <c r="HO38" s="241">
        <f>IF(OR(HI38&gt;0,HI38=0),HJ38+HK38/(HL38-HM38),HJ38+HK38/(HL38-HM38)+HN38*HI38)</f>
        <v>107.5624397675723</v>
      </c>
      <c r="HP38" s="241">
        <f>IF(HI38&gt;0,HI38,0.001)</f>
        <v>1E-3</v>
      </c>
      <c r="HQ38" s="241">
        <v>1.5020000000000001E-3</v>
      </c>
      <c r="HR38" s="24">
        <f>IF(R38=1,0,VLOOKUP(PostnrNbal,AfstromData,VLOOKUP($R38,Afgr,Data!$DL$3)+IF(Jordtype1&lt;7,Jordtype1,6),FALSE)-VLOOKUP(T38,Efgr,Data!$AA$53))</f>
        <v>284.76666666666603</v>
      </c>
      <c r="HS38" s="24">
        <f>IF(Nbal!GA38&lt;&gt;"",Nbal!GA38,Regn2!HR38)</f>
        <v>284.76666666666603</v>
      </c>
      <c r="HT38" s="241">
        <v>5.5400000000000002E-4</v>
      </c>
      <c r="HU38" s="24">
        <f>IF(R38=1,0,VLOOKUP(PostnrNbal,AfstromData,VLOOKUP($O38,Afgr,Data!$DL$3)+IF(B38&lt;7,B38,6),FALSE)-VLOOKUP(P38,Efgr,Data!$AA$53))</f>
        <v>269.74999999999898</v>
      </c>
      <c r="HV38" s="24">
        <f>IF(Nbal!FU38&lt;&gt;"",Nbal!FU38,Regn2!HU38)</f>
        <v>269.74999999999898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19.752351201859803</v>
      </c>
      <c r="ID38">
        <f>IC38*Z38</f>
        <v>14.221692865339058</v>
      </c>
      <c r="IE38">
        <f>IF(Nbal!GF38&lt;&gt;"",Nbal!GF38,RetentionNbal)</f>
        <v>65</v>
      </c>
      <c r="IF38">
        <f>IC38*(100-IE38)*0.01</f>
        <v>6.9133229206509306</v>
      </c>
      <c r="IG38">
        <f>IF38*Z38</f>
        <v>4.9775925028686698</v>
      </c>
      <c r="IH38" s="2">
        <f>HS38*10000</f>
        <v>2847666.6666666605</v>
      </c>
      <c r="II38" s="2">
        <f>IH38*Z38</f>
        <v>2050319.9999999953</v>
      </c>
      <c r="IJ38">
        <f>IF(ISERROR(IC38*1000*1000/IH38),0,IC38*1000*1000/IH38)</f>
        <v>6.9363284098770377</v>
      </c>
      <c r="IL38">
        <f>AT38+AX38+BK38+BU38</f>
        <v>9620</v>
      </c>
      <c r="IO38">
        <f>VLOOKUP(R38,Afgr,Data!$AP$3)*UdsaedJust</f>
        <v>488</v>
      </c>
      <c r="IP38" s="3">
        <f>IF(Nbal!GN38&lt;&gt;"",Nbal!GN38,IO38)</f>
        <v>488</v>
      </c>
      <c r="IQ38" s="3">
        <f>IP38*Z38</f>
        <v>351.36</v>
      </c>
      <c r="IS38" s="3">
        <f>IF(HdgVaerdiNbal=1,(BZ38+CA38)*Npris,(BZ38+CA38+CJ38+CK38)*Npris)</f>
        <v>228.14999999999998</v>
      </c>
      <c r="IT38" s="3">
        <f>IS38*Z38</f>
        <v>164.26799999999997</v>
      </c>
      <c r="IV38">
        <f>VLOOKUP($R38,Afgr,Data!$BA$3)</f>
        <v>0</v>
      </c>
      <c r="IW38">
        <f>VLOOKUP($R38,Afgr,Data!$BB$3)</f>
        <v>2.5</v>
      </c>
      <c r="IX38">
        <f>$DS38+$EE38</f>
        <v>20.383000000000003</v>
      </c>
      <c r="IY38">
        <f>CT38</f>
        <v>17</v>
      </c>
      <c r="IZ38">
        <f>CQ38</f>
        <v>0</v>
      </c>
      <c r="JA38" s="3">
        <f>IF(HdgVaerdiNbal=1,(IZ38)*Ppris,(IY38+IZ38)*Ppris)</f>
        <v>0</v>
      </c>
      <c r="JB38" s="3">
        <f>JA38*Z38</f>
        <v>0</v>
      </c>
      <c r="JD38">
        <f>IF(AND(R38&gt;1,OR(Jordtype1=1,Jordtype1=3,Markvand1=2)),Kudvask,0)</f>
        <v>0</v>
      </c>
      <c r="JE38">
        <f>$DV38+$EH38</f>
        <v>52.972000000000001</v>
      </c>
      <c r="JF38">
        <f>DB38</f>
        <v>47</v>
      </c>
      <c r="JG38">
        <f>CY38</f>
        <v>0</v>
      </c>
      <c r="JH38" s="3">
        <f>IF(HdgVaerdiNbal=1,JG38*Kpris,(JF38+JG38)*Kpris)</f>
        <v>0</v>
      </c>
      <c r="JI38" s="3">
        <f>JH38*Z38</f>
        <v>0</v>
      </c>
      <c r="JK38">
        <f>IS38+JA38+JH38</f>
        <v>228.14999999999998</v>
      </c>
      <c r="JL38" s="3">
        <f>IF(Nbal!GT38&lt;&gt;"",Nbal!GT38,$JK38)</f>
        <v>228.14999999999998</v>
      </c>
      <c r="JM38" s="3">
        <f>JL38*Z38</f>
        <v>164.26799999999997</v>
      </c>
      <c r="JO38">
        <f>VLOOKUP(R38,Afgr,Data!$AQ$3)*PlantevJust</f>
        <v>283</v>
      </c>
      <c r="JP38" s="3">
        <f>IF(Nbal!GZ38&lt;&gt;"",Nbal!GZ38,JO38)</f>
        <v>283</v>
      </c>
      <c r="JQ38" s="3">
        <f>JP38*Z38</f>
        <v>203.76</v>
      </c>
      <c r="JS38">
        <f>VLOOKUP(R38,Afgr,Data!$AR$3)+AM38*VLOOKUP(R38,Afgr,Data!$BH$3)</f>
        <v>0</v>
      </c>
      <c r="JT38" s="3">
        <f>IF(Nbal!HF38&lt;&gt;"",Nbal!HF38,JS38)</f>
        <v>0</v>
      </c>
      <c r="JU38">
        <f>JT38*Z38</f>
        <v>0</v>
      </c>
      <c r="JW38">
        <f>IP38+JL38+JP38+JT38</f>
        <v>999.15</v>
      </c>
      <c r="JY38">
        <f>IF(VLOOKUP(R38,Afgr,Data!$BY$3)&gt;0,Data!$K$259*J38,0)</f>
        <v>600</v>
      </c>
      <c r="JZ38">
        <f>IF(VLOOKUP(R38,Afgr,Data!$BZ$3)&gt;0,Data!$K$260*J38,0)</f>
        <v>0</v>
      </c>
      <c r="KA38">
        <f>(JY38+JZ38)*MaskJust</f>
        <v>600</v>
      </c>
      <c r="KB38" s="3">
        <f>IF(Nbal!HL38&lt;&gt;"",Nbal!HL38,KA38)</f>
        <v>600</v>
      </c>
      <c r="KC38" s="3">
        <f>KB38*Z38</f>
        <v>432</v>
      </c>
      <c r="KE38">
        <f>IF(VLOOKUP(R38,Afgr,Data!$CA$3)&gt;0,VLOOKUP(R38,Afgr,Data!$CA$3)*Data!$K$261*K38,0)</f>
        <v>0</v>
      </c>
      <c r="KF38">
        <f>IF(VLOOKUP(R38,Afgr,Data!$CC$3)&gt;0,Data!$K$262*K38,0)</f>
        <v>350</v>
      </c>
      <c r="KG38">
        <f>IF(VLOOKUP(R38,Afgr,Data!$CD$3)&gt;0,VLOOKUP(R38,Afgr,Data!$CD$3)*Data!$K$263*K38,0)</f>
        <v>0</v>
      </c>
      <c r="KH38">
        <f>IF(VLOOKUP(R38,Afgr,Data!$CE$3)&gt;0,Data!$K$264*K38,0)</f>
        <v>0</v>
      </c>
      <c r="KI38">
        <f>IF(VLOOKUP(R38,Afgr,Data!$CF$3)&gt;0,Data!$K$265*K38,0)</f>
        <v>0</v>
      </c>
      <c r="KJ38">
        <f>IF(VLOOKUP(R38,Afgr,Data!$CV$3)&gt;0,Data!$K$266,0)</f>
        <v>0</v>
      </c>
      <c r="KK38">
        <f>IF(VLOOKUP(R38,Afgr,Data!$CG$3)&gt;0,Data!$K$267*K38,0)</f>
        <v>0</v>
      </c>
      <c r="KL38">
        <f>(KE38+KF38+KG38+KH38+KI38+KJ38+KK38)*MaskJust</f>
        <v>350</v>
      </c>
      <c r="KM38" s="3">
        <f>IF(Nbal!HR38&lt;&gt;"",Nbal!HR38,KL38)</f>
        <v>350</v>
      </c>
      <c r="KN38" s="3">
        <f>KM38*Z38</f>
        <v>252</v>
      </c>
      <c r="KP38">
        <f>IF(VLOOKUP(R38,Afgr,Data!$CJ$3)&gt;0,VLOOKUP(R38,Afgr,Data!$CJ$3)*Data!$K$268*K38,0)*MaskJust</f>
        <v>140</v>
      </c>
      <c r="KQ38" s="3">
        <f>IF(Nbal!HX38&lt;&gt;"",Nbal!HX38,KP38)</f>
        <v>140</v>
      </c>
      <c r="KR38" s="3">
        <f>KQ38*Z38</f>
        <v>100.8</v>
      </c>
      <c r="KT38">
        <f>IF(VLOOKUP(R38,Afgr,Data!$CI$3)&gt;0,VLOOKUP(R38,Afgr,Data!$CI$3)*Data!$K$269,0)*MaskJust</f>
        <v>300</v>
      </c>
      <c r="KU38" s="3">
        <f>IF(Nbal!ID38&lt;&gt;"",Nbal!ID38,KT38)</f>
        <v>300</v>
      </c>
      <c r="KV38" s="3">
        <f>KU38*Z38</f>
        <v>216</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746.47058823529403</v>
      </c>
      <c r="LE38">
        <f>IF(VLOOKUP($R38,Afgr,Data!$CK$3)&gt;0,IF(AND($S38=2,$BA38&gt;0),Data!$K$271,0),0)</f>
        <v>0</v>
      </c>
      <c r="LF38">
        <f>IF(VLOOKUP($R38,Afgr,Data!$CK$3)&gt;0,(AM38/VLOOKUP($R38,Afgr,Data!$CK$3))*VLOOKUP($R38,Afgr,Data!$CO$3)*VLOOKUP($R38,Afgr,Data!$CN$3),0)</f>
        <v>214.11764705882354</v>
      </c>
      <c r="LG38">
        <f>(LD38+LE38+LF38)*MaskJust</f>
        <v>960.58823529411757</v>
      </c>
      <c r="LH38" s="3">
        <f>IF(Nbal!IV38&lt;&gt;"",Nbal!IV38,LG38)</f>
        <v>960.58823529411757</v>
      </c>
      <c r="LI38" s="3">
        <f>LH38*Z38</f>
        <v>691.62352941176459</v>
      </c>
      <c r="LJ38" s="3"/>
      <c r="LK38">
        <f>IF(AND($S38=1,VLOOKUP($R38,Afgr,Data!$CP$3)&gt;0),((1+$BC38/VLOOKUP($R38,Afgr,Data!$CP$3))/2)*VLOOKUP($R38,Afgr,Data!$CQ$3),0)</f>
        <v>525</v>
      </c>
      <c r="LL38">
        <f>IF(AND($S38=1,VLOOKUP($R38,Afgr,Data!$CP$3)&gt;0),($BC38/VLOOKUP($R38,Afgr,Data!$CP$3))*VLOOKUP($R38,Afgr,Data!$CR$3),0)</f>
        <v>200</v>
      </c>
      <c r="LM38">
        <f>(LK38+LL38)*MaskJust</f>
        <v>725</v>
      </c>
      <c r="LN38" s="3">
        <f>IF(Nbal!JB38&lt;&gt;"",Nbal!JB38,LM38)</f>
        <v>725</v>
      </c>
      <c r="LO38" s="3">
        <f>LN38*Z38</f>
        <v>522</v>
      </c>
      <c r="LQ38">
        <f>$AM38*VLOOKUP($R38,Afgr,Data!$CS$3)*IF($V38=1,VLOOKUP($R38,Afgr,Data!$CT$3),IF($V38=2,VLOOKUP($R38,Afgr,Data!$CU$3),0))</f>
        <v>517.44000000000005</v>
      </c>
      <c r="LR38" s="3">
        <f>IF(Nbal!JK38&lt;&gt;"",Nbal!JK38,LQ38)</f>
        <v>517.44000000000005</v>
      </c>
      <c r="LS38" s="3">
        <f>LR38*Z38</f>
        <v>372.55680000000001</v>
      </c>
      <c r="LU38">
        <f>VLOOKUP($T38,Efgr,Data!$AC$53)*UdsaedJust</f>
        <v>160</v>
      </c>
      <c r="LV38" s="3">
        <f>IF(Nbal!$JS38&lt;&gt;"",Nbal!$JS38,LU38)</f>
        <v>160</v>
      </c>
      <c r="LW38" s="3">
        <f>LV38*Z38</f>
        <v>115.19999999999999</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160</v>
      </c>
      <c r="NB38">
        <f>VLOOKUP($T38,Efgr,Data!$AU$53)*K38*MaskJust</f>
        <v>75</v>
      </c>
      <c r="NC38" s="3">
        <f>IF(Nbal!KQ38&lt;&gt;"",Nbal!KQ38,NB38)</f>
        <v>75</v>
      </c>
      <c r="ND38" s="3">
        <f>NC38*Z38</f>
        <v>54</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9620</v>
      </c>
      <c r="OE38">
        <f>JW38+MZ38</f>
        <v>1159.1500000000001</v>
      </c>
      <c r="OF38">
        <f>OD38-OE38</f>
        <v>8460.85</v>
      </c>
      <c r="OG38">
        <f>OF38*Z38</f>
        <v>6091.8119999999999</v>
      </c>
      <c r="OJ38">
        <f>VLOOKUP($O38,Afgr,Data!$BP$3)+VLOOKUP($P38,Efgr,Data!$AM$53)</f>
        <v>1</v>
      </c>
      <c r="OK38" s="3">
        <f>OJ38*Z38</f>
        <v>0.72</v>
      </c>
      <c r="OL38">
        <f>VLOOKUP($R38,Afgr,Data!$BP$3)+VLOOKUP($T38,Efgr,Data!$AM$53)</f>
        <v>1</v>
      </c>
      <c r="OM38" s="3">
        <f>OL38*Z38</f>
        <v>0.72</v>
      </c>
      <c r="OO38">
        <f>VLOOKUP($P38,Efgr,Data!$AN$53)</f>
        <v>0</v>
      </c>
      <c r="OP38">
        <f>VLOOKUP($O38,Afgr,Data!$BQ$3)</f>
        <v>1</v>
      </c>
      <c r="OQ38">
        <f>VLOOKUP($R38,Afgr,Data!$BR$3)</f>
        <v>1</v>
      </c>
      <c r="OR38">
        <f>OO38*OP38*OQ38</f>
        <v>0</v>
      </c>
      <c r="OS38" s="3">
        <f>OR38*Z38</f>
        <v>0</v>
      </c>
      <c r="OT38" s="3">
        <f>IF(Q38,1,0)*OS38</f>
        <v>0</v>
      </c>
      <c r="OV38">
        <f>VLOOKUP($T38,Efgr,Data!$AN$53)</f>
        <v>1</v>
      </c>
      <c r="OW38">
        <f>VLOOKUP($R38,Afgr,Data!$BQ$3)</f>
        <v>1</v>
      </c>
      <c r="OX38">
        <f>VLOOKUP($X38,Afgr,Data!$BR$3)</f>
        <v>1</v>
      </c>
      <c r="OY38">
        <f>OV38*OW38*OX38</f>
        <v>1</v>
      </c>
      <c r="OZ38" s="3">
        <f>OY38*Z38</f>
        <v>0.72</v>
      </c>
      <c r="PB38">
        <f>VLOOKUP($T38,Efgr,Data!$AO$53)</f>
        <v>0</v>
      </c>
      <c r="PC38">
        <f>VLOOKUP($O38,Afgr,Data!$BQ$3)</f>
        <v>1</v>
      </c>
      <c r="PD38">
        <f>VLOOKUP($R38,Afgr,Data!$BS$3)</f>
        <v>0</v>
      </c>
      <c r="PE38" s="3">
        <f>PB38*PC38*PD38*$Z38</f>
        <v>0</v>
      </c>
      <c r="PG38">
        <f>VLOOKUP($T38,Efgr,Data!$AO$53)</f>
        <v>0</v>
      </c>
      <c r="PH38">
        <f>VLOOKUP($R38,Afgr,Data!$BQ$3)</f>
        <v>1</v>
      </c>
      <c r="PI38">
        <f>VLOOKUP($X38,Afgr,Data!$BS$3)</f>
        <v>0</v>
      </c>
      <c r="PJ38" s="3">
        <f>PG38*PH38*PI38*$Z38</f>
        <v>0</v>
      </c>
      <c r="PK38" s="3"/>
      <c r="PL38" s="3">
        <f>VLOOKUP($O38,Afgr,Data!$BU$3)</f>
        <v>0</v>
      </c>
      <c r="PM38" s="3">
        <f>PL38*Z38</f>
        <v>0</v>
      </c>
      <c r="PN38" s="3">
        <f>VLOOKUP($R38,Afgr,Data!$BU$3)</f>
        <v>0</v>
      </c>
      <c r="PO38" s="3">
        <f>PN38*Z38</f>
        <v>0</v>
      </c>
      <c r="PQ38">
        <f>VLOOKUP(R38,Afgr,Data!$BX$3)+VLOOKUP(T38,Efgr,Data!$AQ$53)</f>
        <v>0</v>
      </c>
      <c r="PR38">
        <f>IF(PQ38&gt;0,Z38,0)</f>
        <v>0</v>
      </c>
      <c r="PT38">
        <f>VLOOKUP($O38,Afgr,Data!$BT$3)</f>
        <v>1</v>
      </c>
      <c r="PU38" s="3">
        <f>PT38*Z38</f>
        <v>0.72</v>
      </c>
      <c r="PV38">
        <f>VLOOKUP($R38,Afgr,Data!$BT$3)</f>
        <v>1</v>
      </c>
      <c r="PW38" s="3">
        <f>PV38*Z38</f>
        <v>0.72</v>
      </c>
      <c r="PY38">
        <f>VLOOKUP($R38,Afgr,Data!$BV$3)</f>
        <v>0</v>
      </c>
      <c r="PZ38">
        <f>PY38*Z38</f>
        <v>0</v>
      </c>
      <c r="QB38">
        <f>VLOOKUP($R38,Afgr,Data!$BW$3)</f>
        <v>0</v>
      </c>
      <c r="QC38">
        <f>QB38*Z38</f>
        <v>0</v>
      </c>
      <c r="QE38">
        <f>AM38*IF(VLOOKUP($R38,Afgr,Data!$BJ$3)&gt;0,1,0)</f>
        <v>56</v>
      </c>
      <c r="QF38">
        <f>QE38*Z38</f>
        <v>40.32</v>
      </c>
      <c r="QH38">
        <f>AM38*VLOOKUP(R38,Afgr,Data!$BK$3)</f>
        <v>5292</v>
      </c>
      <c r="QI38">
        <f>Z38*QH38</f>
        <v>3810.24</v>
      </c>
      <c r="QJ38">
        <f>$AM38*VLOOKUP($R38,Afgr,Data!$BL$3)+$BR38*VLOOKUP($T38,Efgr,Data!$AP$53)</f>
        <v>0</v>
      </c>
      <c r="QK38">
        <f>QJ38*Z38</f>
        <v>0</v>
      </c>
      <c r="QL38">
        <f>$AM38*VLOOKUP($R38,Afgr,Data!$BM$3)</f>
        <v>0</v>
      </c>
      <c r="QM38">
        <f>QL38*Z38</f>
        <v>0</v>
      </c>
      <c r="QN38">
        <f>$AM38*VLOOKUP($R38,Afgr,Data!$BN$3)</f>
        <v>0</v>
      </c>
      <c r="QO38">
        <f>QN38*Z38</f>
        <v>0</v>
      </c>
      <c r="QR38">
        <f>IF(VLOOKUP($R38,Afgr,Data!$DA$3)="Vårbyg",$AN38,0)*VLOOKUP($R38,Afgr,Data!$BJ$3)</f>
        <v>4112.6400000000003</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1</v>
      </c>
      <c r="RB38">
        <f>RA38*LW38</f>
        <v>115.19999999999999</v>
      </c>
      <c r="RC38">
        <f>RA38*MT38</f>
        <v>0</v>
      </c>
      <c r="RD38">
        <f>ND38</f>
        <v>54</v>
      </c>
      <c r="RE38">
        <f>RA38*OB38</f>
        <v>0</v>
      </c>
      <c r="RH38">
        <f>VLOOKUP(B38,Jordtype,Data!$Y$112+DenitNr-1)</f>
        <v>7.25</v>
      </c>
      <c r="RI38">
        <f>FF38*VLOOKUP(B38,Jordtype,Data!$AB$112+DenitNr-1)</f>
        <v>1.08</v>
      </c>
      <c r="RJ38">
        <f>((CJ38+CK38+CL38+Regn2!CO38*0.7)-(RR38+RT38))*VLOOKUP(B38,Jordtype,Data!$AE$112+DenitNr-1)</f>
        <v>7.9550625000000013</v>
      </c>
      <c r="RK38">
        <f>0*VLOOKUP(B38,Jordtype,Data!$AE$112+DenitNr-1)</f>
        <v>0</v>
      </c>
      <c r="RL38">
        <f>Regn2!FD38*VLOOKUP(B38,Jordtype,Data!$AH$112+DenitNr-1)</f>
        <v>0</v>
      </c>
      <c r="RM38" s="3">
        <f>RH38+RI38+RJ38+RK38+RL38</f>
        <v>16.285062500000002</v>
      </c>
      <c r="RO38">
        <v>2</v>
      </c>
      <c r="RP38">
        <f>(FF38)*RO38*0.01</f>
        <v>0.54</v>
      </c>
      <c r="RQ38">
        <v>7</v>
      </c>
      <c r="RR38">
        <f>CE38*RQ38*0.01</f>
        <v>0</v>
      </c>
      <c r="RS38">
        <v>7</v>
      </c>
      <c r="RT38">
        <f>(Regn2!CF38+Regn2!CG38)*RS38*0.01</f>
        <v>6.09</v>
      </c>
      <c r="RW38">
        <f>VLOOKUP(R38,Afgr,Data!$EE$3)</f>
        <v>5</v>
      </c>
      <c r="RX38" s="3">
        <f>RP38+RR38+RT38+RV38+RW38</f>
        <v>11.629999999999999</v>
      </c>
    </row>
    <row r="40" spans="1:492" x14ac:dyDescent="0.25">
      <c r="A40" s="214" t="str">
        <f>Nbal!B40</f>
        <v>18-0</v>
      </c>
      <c r="B40">
        <v>11</v>
      </c>
      <c r="C40">
        <v>1</v>
      </c>
      <c r="D40">
        <f>IF(C40=1,VLOOKUP(B40,Jordtype,Data!$K$112),VLOOKUP(B40,Jordtype,Data!$L$112))</f>
        <v>7</v>
      </c>
      <c r="E40">
        <f>IF(C40=1,VLOOKUP(B40,Jordtype,Data!$M$112),VLOOKUP(B40,Jordtype,Data!$N$112))</f>
        <v>12</v>
      </c>
      <c r="F40">
        <f>IF(OR(B40=1,B40=3),0,IF(OR(B40=2,B40=4),1,IF(OR(B40=5,B40=6),2,3)))</f>
        <v>3</v>
      </c>
      <c r="G40">
        <f>IF(C40=1,VLOOKUP(B40,Jordtype,Data!$Q$112),VLOOKUP(B40,Jordtype,Data!$R$112))</f>
        <v>23</v>
      </c>
      <c r="H40">
        <f>IF(C40=1,VLOOKUP(B40,Jordtype,Data!$O$112),VLOOKUP(B40,Jordtype,Data!$P$112))</f>
        <v>17</v>
      </c>
      <c r="I40">
        <f>IF(B40&lt;5,0,1)</f>
        <v>1</v>
      </c>
      <c r="J40">
        <f>IF(B40&lt;5,PlojJB,1)</f>
        <v>1</v>
      </c>
      <c r="K40">
        <f>IF(B40&lt;5,SaaJB,1)</f>
        <v>1</v>
      </c>
      <c r="L40">
        <f>IF(C40=1,VLOOKUP(B40,Jordtype,Data!$S$112),VLOOKUP(B40,Jordtype,Data!$T$112))</f>
        <v>6</v>
      </c>
      <c r="M40">
        <f>IF(C40=1,VLOOKUP(B40,Jordtype,Data!$U$112),VLOOKUP(B40,Jordtype,Data!$V$112))</f>
        <v>11</v>
      </c>
      <c r="O40">
        <v>26</v>
      </c>
      <c r="P40">
        <v>1</v>
      </c>
      <c r="Q40" t="b">
        <v>0</v>
      </c>
      <c r="R40">
        <v>26</v>
      </c>
      <c r="S40">
        <v>1</v>
      </c>
      <c r="T40">
        <v>1</v>
      </c>
      <c r="U40">
        <v>1</v>
      </c>
      <c r="V40">
        <v>1</v>
      </c>
      <c r="X40">
        <v>26</v>
      </c>
      <c r="Z40">
        <f>Nbal!AG40</f>
        <v>5.05</v>
      </c>
      <c r="AA40">
        <v>4</v>
      </c>
      <c r="AB40">
        <f>VLOOKUP($R40,Afgr,G40)</f>
        <v>134</v>
      </c>
      <c r="AC40">
        <f>VLOOKUP($O40,Afgr,Data!$AI$3)*VLOOKUP(R40,Afgr,Data!$AJ$3)</f>
        <v>0</v>
      </c>
      <c r="AD40">
        <f>IF($Q40,0,VLOOKUP($P40,Efgr,(Data!$W$53+$V$6-1)))</f>
        <v>0</v>
      </c>
      <c r="AE40">
        <f>AB40-AC40-AD40</f>
        <v>134</v>
      </c>
      <c r="AF40">
        <f>AE40*Z40</f>
        <v>676.69999999999993</v>
      </c>
      <c r="AH40">
        <f>VLOOKUP(R40,Afgr,D40)</f>
        <v>3000</v>
      </c>
      <c r="AI40">
        <f>VLOOKUP(O40,Afgr,Data!$AL$3)*VLOOKUP(R40,Afgr,E40)</f>
        <v>0</v>
      </c>
      <c r="AJ40">
        <f>VLOOKUP(P40,Efgr,(Data!$Y$53+I40))</f>
        <v>0</v>
      </c>
      <c r="AK40">
        <f>AH40+AI40+AJ40</f>
        <v>3000</v>
      </c>
      <c r="AL40">
        <f>AH40+AI40+AJ40</f>
        <v>3000</v>
      </c>
      <c r="AM40" s="3">
        <f>IF(Nbal!CK40&lt;&gt;"",Nbal!CK40,AL40)</f>
        <v>3000</v>
      </c>
      <c r="AN40">
        <f>AM40*Z40</f>
        <v>15150</v>
      </c>
      <c r="AO40" t="str">
        <f>VLOOKUP(R40,Afgr,3)</f>
        <v>FE</v>
      </c>
      <c r="AP40">
        <f>IF(AO40="FE",VLOOKUP($R40,Afgr,Data!$AV$3),0)</f>
        <v>1.1599999999999999</v>
      </c>
      <c r="AR40">
        <f>VLOOKUP(R40,Afgr,4)</f>
        <v>1.2</v>
      </c>
      <c r="AS40" s="3">
        <f>IF(Nbal!CW40&lt;&gt;"",Nbal!CW40,AR40)</f>
        <v>1.2</v>
      </c>
      <c r="AT40" s="3">
        <f>AM40*AS40</f>
        <v>3600</v>
      </c>
      <c r="AU40" s="3">
        <f>AN40*AS40</f>
        <v>18180</v>
      </c>
      <c r="AW40">
        <f>VLOOKUP(R40,Afgr,Data!$AN$3)</f>
        <v>0</v>
      </c>
      <c r="AX40" s="3">
        <f>IF(Nbal!DC40&lt;&gt;"",Nbal!DC40,AW40)</f>
        <v>0</v>
      </c>
      <c r="AY40" s="3">
        <f>AX40*Z40</f>
        <v>0</v>
      </c>
      <c r="BA40">
        <f>VLOOKUP(R40,Afgr,H40)</f>
        <v>0</v>
      </c>
      <c r="BB40">
        <f>IF(ISERROR(BA40*AM40/AK40),0,(BA40*AM40/AK40))</f>
        <v>0</v>
      </c>
      <c r="BC40" s="3">
        <f>IF(Nbal!DI40&lt;&gt;"",Nbal!DI40,BB40)</f>
        <v>0</v>
      </c>
      <c r="BD40">
        <f>BC40*Z40</f>
        <v>0</v>
      </c>
      <c r="BG40">
        <f>IF($S40=1,BC40,0)</f>
        <v>0</v>
      </c>
      <c r="BH40">
        <f>IF($S40=1,BD40,0)</f>
        <v>0</v>
      </c>
      <c r="BI40">
        <f>VLOOKUP(R40,Afgr,Data!$AM$3)</f>
        <v>0</v>
      </c>
      <c r="BJ40">
        <f>IF(Nbal!DR40&lt;&gt;"",Nbal!DR40,BI40)</f>
        <v>0</v>
      </c>
      <c r="BK40">
        <f>BG40*BJ40</f>
        <v>0</v>
      </c>
      <c r="BL40">
        <f>BH40*BJ40</f>
        <v>0</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52</v>
      </c>
      <c r="CB40" s="2">
        <f>Nbal!DZ40</f>
        <v>0</v>
      </c>
      <c r="CC40" s="211">
        <f>Nbal!AT40+Nbal!DZ40</f>
        <v>52</v>
      </c>
      <c r="CD40" s="211">
        <f>Nbal!AX40</f>
        <v>0</v>
      </c>
      <c r="CE40">
        <f>Nbal!BH40</f>
        <v>0</v>
      </c>
      <c r="CF40" s="211">
        <f>Nbal!BM40</f>
        <v>0</v>
      </c>
      <c r="CG40" s="2">
        <f>Nbal!EI40</f>
        <v>0</v>
      </c>
      <c r="CH40" s="211">
        <f>Nbal!BM40+Nbal!EI40</f>
        <v>0</v>
      </c>
      <c r="CI40" s="211">
        <f>Nbal!BW40</f>
        <v>0</v>
      </c>
      <c r="CJ40" s="211">
        <f>Nbal!BH40*Nbal!BJ40*0.01</f>
        <v>0</v>
      </c>
      <c r="CK40" s="211">
        <f>(Nbal!BM40*Nbal!BP40*0.01)</f>
        <v>0</v>
      </c>
      <c r="CL40" s="211">
        <f>(Nbal!EI40*Nbal!EL40*0.01)</f>
        <v>0</v>
      </c>
      <c r="CM40" s="211">
        <f>(Nbal!BM40*Nbal!BP40*0.01)+(Nbal!EI40*Nbal!EL40*0.01)</f>
        <v>0</v>
      </c>
      <c r="CN40" s="211">
        <f>Nbal!BW40*Nbal!BY40*0.01</f>
        <v>0</v>
      </c>
      <c r="CO40">
        <f>Nbal!BT40+Nbal!ER40</f>
        <v>0</v>
      </c>
      <c r="CQ40">
        <f>Nbal!BA40</f>
        <v>7</v>
      </c>
      <c r="CR40">
        <f>Nbal!EC40</f>
        <v>0</v>
      </c>
      <c r="CS40">
        <f>(CQ40+CR40)*Z40</f>
        <v>35.35</v>
      </c>
      <c r="CT40">
        <f>Nbal!CB40</f>
        <v>0</v>
      </c>
      <c r="CU40">
        <f>Nbal!EV40</f>
        <v>0</v>
      </c>
      <c r="CV40">
        <f>(CT40+CU40)*Z40</f>
        <v>0</v>
      </c>
      <c r="CW40">
        <f>Nbal!BA40+Nbal!CB40+Nbal!EC40+Nbal!EV40</f>
        <v>7</v>
      </c>
      <c r="CY40">
        <f>Nbal!BD40</f>
        <v>24</v>
      </c>
      <c r="CZ40">
        <f>Nbal!EF40</f>
        <v>0</v>
      </c>
      <c r="DA40">
        <f>(CY40+CZ40)*Z40</f>
        <v>121.19999999999999</v>
      </c>
      <c r="DB40">
        <f>Nbal!CE40</f>
        <v>0</v>
      </c>
      <c r="DC40">
        <f>Nbal!EY40</f>
        <v>0</v>
      </c>
      <c r="DD40">
        <f>(DB40+DC40)*Z40</f>
        <v>0</v>
      </c>
      <c r="DE40">
        <f>Nbal!BD40+Nbal!CE40+Nbal!EF40+Nbal!EY40</f>
        <v>24</v>
      </c>
      <c r="DG40">
        <f>VLOOKUP($R40,Afgr,Data!$AW$3)</f>
        <v>14</v>
      </c>
      <c r="DH40">
        <f>IF($AO40="FE",$AM40*$AP40*$DG40*0.01,$AM40*100*$DM40*0.01*$DG40*0.01)</f>
        <v>487.19999999999993</v>
      </c>
      <c r="DI40">
        <f>IF(VLOOKUP(R40,Afgr,Data!$BO$3)=1,DH40,0)*Z40</f>
        <v>0</v>
      </c>
      <c r="DJ40" s="12">
        <f>(BZ40+CC40+CJ40-AE40)*VLOOKUP($R40,Afgr,Data!$AX$3)</f>
        <v>0</v>
      </c>
      <c r="DK40">
        <f>DG40+DJ40</f>
        <v>14</v>
      </c>
      <c r="DL40">
        <f>IF(Nbal!CQ40&lt;&gt;"",Nbal!CQ40,DK40)</f>
        <v>14</v>
      </c>
      <c r="DM40">
        <f>VLOOKUP(R40,Afgr,Data!$AT$3)</f>
        <v>0</v>
      </c>
      <c r="DN40">
        <f>IF($AO40="FE",$AM40*$AP40*$DL40*0.01,$AM40*100*$DM40*0.01*DL40*0.01)</f>
        <v>487.19999999999993</v>
      </c>
      <c r="DO40">
        <f>IF(VLOOKUP(R40,Afgr,Data!$BO$3)=1,DN40,0)*Z40</f>
        <v>0</v>
      </c>
      <c r="DP40">
        <f>IF(ISERROR(DN40/VLOOKUP(R40,Afgr,Data!$AY$3)),0,DN40/VLOOKUP(R40,Afgr,Data!$AY$3))</f>
        <v>77.951999999999984</v>
      </c>
      <c r="DQ40">
        <f>DP40*Z40</f>
        <v>393.65759999999989</v>
      </c>
      <c r="DS40">
        <f>IF($AO40="FE",$AM40*$AP40*VLOOKUP($R40,Afgr,Data!$BC$3)*0.001,$AM40*100*$DM40*0.01*VLOOKUP($R40,Afgr,Data!$BC$3)*0.001)</f>
        <v>9.743999999999998</v>
      </c>
      <c r="DT40">
        <f>DS40*Z40</f>
        <v>49.207199999999986</v>
      </c>
      <c r="DV40">
        <f>IF($AO40="FE",$AM40*$AP40*VLOOKUP($R40,Afgr,Data!$BF$3)*0.001,$AM40*100*$DM40*0.01*VLOOKUP($R40,Afgr,Data!$BF$3)*0.001)</f>
        <v>62.639999999999993</v>
      </c>
      <c r="DW40">
        <f>DV40*Z40</f>
        <v>316.33199999999994</v>
      </c>
      <c r="DY40">
        <f>IF(ISERROR(VLOOKUP(R40,Afgr,Data!$AZ$3)*DL40/DG40),0,VLOOKUP(R40,Afgr,Data!$AZ$3)*DL40/DG40)</f>
        <v>0</v>
      </c>
      <c r="DZ40">
        <f>VLOOKUP(R40,Afgr,Data!$AU$3)</f>
        <v>0</v>
      </c>
      <c r="EA40">
        <f>IF($S40=1,$BC40*$DZ40*0.01*DY40*0.01,0)</f>
        <v>0</v>
      </c>
      <c r="EB40">
        <f>EA40/6.25</f>
        <v>0</v>
      </c>
      <c r="EC40">
        <f>EB40*Z40</f>
        <v>0</v>
      </c>
      <c r="EE40">
        <f>IF($S40=1,$BC40*$DZ40*0.01*VLOOKUP($R40,Afgr,Data!$BD$3)*0.001,0)</f>
        <v>0</v>
      </c>
      <c r="EF40">
        <f>EE40*Z40</f>
        <v>0</v>
      </c>
      <c r="EH40">
        <f>IF($S40=1,$BC40*$DZ40*0.01*VLOOKUP($R40,Afgr,Data!$BG$3)*0.001,0)</f>
        <v>0</v>
      </c>
      <c r="EI40">
        <f>EH40*Z40</f>
        <v>0</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52</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52</v>
      </c>
      <c r="FG40" s="211">
        <f>FF40*Z40</f>
        <v>262.59999999999997</v>
      </c>
      <c r="FH40" s="211">
        <f>CE40+CH40+CO40</f>
        <v>0</v>
      </c>
      <c r="FI40" s="211">
        <f>FH40*Z40</f>
        <v>0</v>
      </c>
      <c r="FJ40">
        <f>VLOOKUP($R40,Afgr,Data!$DK$3)*VLOOKUP($R40,Afgr,Data!$AT$3)*0.01*VLOOKUP($R40,Afgr,Data!$AW$3)*0.01/6.25</f>
        <v>0</v>
      </c>
      <c r="FK40">
        <f>FJ40*Z40</f>
        <v>0</v>
      </c>
      <c r="FL40" s="4">
        <f>IF(R40&gt;1,Deposition,0)</f>
        <v>15</v>
      </c>
      <c r="FM40" s="4">
        <f>FL40*Z40</f>
        <v>75.75</v>
      </c>
      <c r="FN40">
        <f>FC40</f>
        <v>0</v>
      </c>
      <c r="FO40">
        <f>FN40*Z40</f>
        <v>0</v>
      </c>
      <c r="FP40" s="211">
        <f>SUM(FF40,FH40,FJ40,FL40,FN40)</f>
        <v>67</v>
      </c>
      <c r="FQ40">
        <f>DP40+EB40+EL40</f>
        <v>77.951999999999984</v>
      </c>
      <c r="FR40" s="3">
        <f>FP40-FQ40</f>
        <v>-10.951999999999984</v>
      </c>
      <c r="FS40" s="19">
        <f>FP40*Z40</f>
        <v>338.34999999999997</v>
      </c>
      <c r="FT40" s="19">
        <f>FQ40*Z40</f>
        <v>393.65759999999989</v>
      </c>
      <c r="FU40" s="3">
        <f>FR40*Z40</f>
        <v>-55.307599999999915</v>
      </c>
      <c r="FW40">
        <f>CW40</f>
        <v>7</v>
      </c>
      <c r="FX40">
        <f>FW40*Z40</f>
        <v>35.35</v>
      </c>
      <c r="FY40">
        <f>IX40+MB40</f>
        <v>9.743999999999998</v>
      </c>
      <c r="FZ40">
        <f>FY40*Z40</f>
        <v>49.207199999999986</v>
      </c>
      <c r="GA40">
        <f>FW40-FY40</f>
        <v>-2.743999999999998</v>
      </c>
      <c r="GB40">
        <f>GA40*Z40</f>
        <v>-13.85719999999999</v>
      </c>
      <c r="GD40">
        <f>DE40</f>
        <v>24</v>
      </c>
      <c r="GE40">
        <f>GD40*Z40</f>
        <v>121.19999999999999</v>
      </c>
      <c r="GF40">
        <f>JE40+MH40</f>
        <v>62.639999999999993</v>
      </c>
      <c r="GG40">
        <f>GF40*Z40</f>
        <v>316.33199999999994</v>
      </c>
      <c r="GH40">
        <f>GD40-GF40</f>
        <v>-38.639999999999993</v>
      </c>
      <c r="GI40">
        <f>GH40*Z40</f>
        <v>-195.13199999999995</v>
      </c>
      <c r="GK40">
        <f>AA40</f>
        <v>4</v>
      </c>
      <c r="GL40" s="211">
        <f>FF40+FH40+FN40</f>
        <v>52</v>
      </c>
      <c r="GM40" s="211" t="str">
        <f>IF(R40=1,"",IF(GK40=1,GL40,""))</f>
        <v/>
      </c>
      <c r="GN40" s="211" t="str">
        <f>IF(R40=1,"",IF(GK40=2,GL40,""))</f>
        <v/>
      </c>
      <c r="GO40" s="211" t="str">
        <f>IF(R40=1,"",IF(GK40=3,GL40,""))</f>
        <v/>
      </c>
      <c r="GP40" s="211">
        <f>IF(R40=1,"",IF(GK40=4,GL40,""))</f>
        <v>52</v>
      </c>
      <c r="GQ40" s="149">
        <f>IF(OR(R40=1,VLOOKUP(R40,Afgr,Data!$BV$3)=1,VLOOKUP(R40,Afgr,Data!$BW$3)=1),0,IF(GK40=1,Nniveau1,IF(GK40=2,Nniveau2,IF(GK40=3,Nniveau3,IF(GK40=4,Nniveau4,GL40)))))</f>
        <v>46.222222222222221</v>
      </c>
      <c r="GR40" s="241">
        <v>0.32550000000000001</v>
      </c>
      <c r="GS40" s="6">
        <v>0</v>
      </c>
      <c r="GT40" s="149">
        <f>CC40+CM40</f>
        <v>52</v>
      </c>
      <c r="GU40" s="6">
        <f>$FN40</f>
        <v>0</v>
      </c>
      <c r="GV40" s="241">
        <v>0.25280000000000002</v>
      </c>
      <c r="GW40">
        <f>CO40</f>
        <v>0</v>
      </c>
      <c r="GX40" s="241">
        <v>0.376</v>
      </c>
      <c r="GY40" s="149">
        <f>CD40+CN40</f>
        <v>0</v>
      </c>
      <c r="GZ40" s="241">
        <f>IF(B40&gt;3,0.3539,1.0749)</f>
        <v>0.35389999999999999</v>
      </c>
      <c r="HA40" s="11">
        <f>$FQ40</f>
        <v>77.951999999999984</v>
      </c>
      <c r="HB40" s="241">
        <v>0.19359999999999999</v>
      </c>
      <c r="HC40" s="241">
        <f>VLOOKUP($R40,Afgr,Data!$DM$3)</f>
        <v>7</v>
      </c>
      <c r="HD40" s="24">
        <f>IF($HC40&gt;1,0,(VLOOKUP($X40,Afgr,Data!$DP$3)+IF(VLOOKUP($X40,Afgr,Data!$DP$3)=0,VLOOKUP($T40,Efgr,Data!$BI$53,0))))+IF(AND($HC40=7,VLOOKUP($X40,Afgr,Data!$DQ$3)=-2),-2,0)+IF(AND($HC40=6,VLOOKUP($T40,Efgr,Data!$BI$53)=2),8,0)</f>
        <v>0</v>
      </c>
      <c r="HE40" s="6">
        <f>VLOOKUP(SUM(HC40:HD40),Nlesafgr,3)</f>
        <v>-165.7</v>
      </c>
      <c r="HF40" s="7">
        <f>VLOOKUP($O40,Afgr,Data!$DN$3)</f>
        <v>4</v>
      </c>
      <c r="HG40" s="24">
        <f>IF(HF40&gt;1,0,VLOOKUP($R40,Afgr,Data!$DO$3)+IF(VLOOKUP($R40,Afgr,Data!$DO$3)=1,0,VLOOKUP($P40,Efgr,Data!$BJ$53)))</f>
        <v>0</v>
      </c>
      <c r="HH40" s="6">
        <f>VLOOKUP(SUM(HF40:HG40),Nlesforfrugt,3)</f>
        <v>34.700000000000003</v>
      </c>
      <c r="HI40" s="241">
        <f>GR40*GQ40+GV40*(GT40+GU40)+GX40*GW40+GZ40*GY40-HB40*HA40+HE40+HH40</f>
        <v>-117.90057386666665</v>
      </c>
      <c r="HJ40" s="241">
        <f>Nlesafskaering</f>
        <v>59.6</v>
      </c>
      <c r="HK40" s="241">
        <f>Teknologi1</f>
        <v>2455</v>
      </c>
      <c r="HL40" s="6">
        <v>2001</v>
      </c>
      <c r="HM40" s="241">
        <f>Teknologi2</f>
        <v>1962.2</v>
      </c>
      <c r="HN40" s="241">
        <f>Tandel</f>
        <v>0.54659999999999997</v>
      </c>
      <c r="HO40" s="241">
        <f>IF(OR(HI40&gt;0,HI40=0),HJ40+HK40/(HL40-HM40),HJ40+HK40/(HL40-HM40)+HN40*HI40)</f>
        <v>58.428742200768752</v>
      </c>
      <c r="HP40" s="241">
        <f>IF(HI40&gt;0,HI40,0.001)</f>
        <v>1E-3</v>
      </c>
      <c r="HQ40" s="241">
        <v>1.5020000000000001E-3</v>
      </c>
      <c r="HR40" s="24">
        <f>IF(R40=1,0,VLOOKUP(PostnrNbal,AfstromData,VLOOKUP($R40,Afgr,Data!$DL$3)+IF(Jordtype1&lt;7,Jordtype1,6),FALSE)-VLOOKUP(T40,Efgr,Data!$AA$53))</f>
        <v>272.32333333333298</v>
      </c>
      <c r="HS40" s="24">
        <f>IF(Nbal!GA40&lt;&gt;"",Nbal!GA40,Regn2!HR40)</f>
        <v>272.32333333333298</v>
      </c>
      <c r="HT40" s="241">
        <v>5.5400000000000002E-4</v>
      </c>
      <c r="HU40" s="24">
        <f>IF(R40=1,0,VLOOKUP(PostnrNbal,AfstromData,VLOOKUP($O40,Afgr,Data!$DL$3)+IF(B40&lt;7,B40,6),FALSE)-VLOOKUP(P40,Efgr,Data!$AA$53))</f>
        <v>272.32333333333298</v>
      </c>
      <c r="HV40" s="24">
        <f>IF(Nbal!FU40&lt;&gt;"",Nbal!FU40,Regn2!HU40)</f>
        <v>272.32333333333298</v>
      </c>
      <c r="HW40" s="241">
        <v>0.10639999999999999</v>
      </c>
      <c r="HX40" s="6">
        <f>VLOOKUP(B40,Jordtype,Data!$W$112)</f>
        <v>26</v>
      </c>
      <c r="HY40" s="241">
        <v>3.2500000000000001E-2</v>
      </c>
      <c r="HZ40" s="6">
        <f>VLOOKUP(B40,Jordtype,Data!$X$112)</f>
        <v>5</v>
      </c>
      <c r="IA40" s="241">
        <v>1.2453000000000001</v>
      </c>
      <c r="IB40" s="241">
        <f>IF(VLOOKUP(T40,Efgr,Data!$AO$53)=1,MlafgrNUdvask,0)</f>
        <v>0</v>
      </c>
      <c r="IC40" s="20">
        <f>IF(ISERROR((HO40+POWER(HP40,1.2))*(1-EXP(-HQ40*HS40))*EXP(-HT40*HV40)*EXP(-HW40*HX40)*EXP(-HY40*HZ40)*IA40),0,(HO40+POWER(HP40,1.2))*(1-EXP(-HQ40*HS40))*EXP(-HT40*HV40)*EXP(-HW40*HX40)*EXP(-HY40*HZ40)*IA40+IB40)</f>
        <v>1.1228840974698513</v>
      </c>
      <c r="ID40">
        <f>IC40*Z40</f>
        <v>5.6705646922227491</v>
      </c>
      <c r="IE40">
        <f>IF(Nbal!GF40&lt;&gt;"",Nbal!GF40,RetentionNbal)</f>
        <v>65</v>
      </c>
      <c r="IF40">
        <f>IC40*(100-IE40)*0.01</f>
        <v>0.393009434114448</v>
      </c>
      <c r="IG40">
        <f>IF40*Z40</f>
        <v>1.9846976422779623</v>
      </c>
      <c r="IH40" s="2">
        <f>HS40*10000</f>
        <v>2723233.3333333298</v>
      </c>
      <c r="II40" s="2">
        <f>IH40*Z40</f>
        <v>13752328.333333315</v>
      </c>
      <c r="IJ40">
        <f>IF(ISERROR(IC40*1000*1000/IH40),0,IC40*1000*1000/IH40)</f>
        <v>0.41233488284876529</v>
      </c>
      <c r="IL40">
        <f>AT40+AX40+BK40+BU40</f>
        <v>3600</v>
      </c>
      <c r="IO40">
        <f>VLOOKUP(R40,Afgr,Data!$AP$3)*UdsaedJust</f>
        <v>0</v>
      </c>
      <c r="IP40" s="3">
        <f>IF(Nbal!GN40&lt;&gt;"",Nbal!GN40,IO40)</f>
        <v>0</v>
      </c>
      <c r="IQ40" s="3">
        <f>IP40*Z40</f>
        <v>0</v>
      </c>
      <c r="IS40" s="3">
        <f>IF(HdgVaerdiNbal=1,(BZ40+CA40)*Npris,(BZ40+CA40+CJ40+CK40)*Npris)</f>
        <v>439.4</v>
      </c>
      <c r="IT40" s="3">
        <f>IS40*Z40</f>
        <v>2218.9699999999998</v>
      </c>
      <c r="IV40">
        <f>VLOOKUP($R40,Afgr,Data!$BA$3)</f>
        <v>0</v>
      </c>
      <c r="IW40">
        <f>VLOOKUP($R40,Afgr,Data!$BB$3)</f>
        <v>0</v>
      </c>
      <c r="IX40">
        <f>$DS40+$EE40</f>
        <v>9.743999999999998</v>
      </c>
      <c r="IY40">
        <f>CT40</f>
        <v>0</v>
      </c>
      <c r="IZ40">
        <f>CQ40</f>
        <v>7</v>
      </c>
      <c r="JA40" s="3">
        <f>IF(HdgVaerdiNbal=1,(IZ40)*Ppris,(IY40+IZ40)*Ppris)</f>
        <v>97.3</v>
      </c>
      <c r="JB40" s="3">
        <f>JA40*Z40</f>
        <v>491.36499999999995</v>
      </c>
      <c r="JD40">
        <f>IF(AND(R40&gt;1,OR(Jordtype1=1,Jordtype1=3,Markvand1=2)),Kudvask,0)</f>
        <v>0</v>
      </c>
      <c r="JE40">
        <f>$DV40+$EH40</f>
        <v>62.639999999999993</v>
      </c>
      <c r="JF40">
        <f>DB40</f>
        <v>0</v>
      </c>
      <c r="JG40">
        <f>CY40</f>
        <v>24</v>
      </c>
      <c r="JH40" s="3">
        <f>IF(HdgVaerdiNbal=1,JG40*Kpris,(JF40+JG40)*Kpris)</f>
        <v>156</v>
      </c>
      <c r="JI40" s="3">
        <f>JH40*Z40</f>
        <v>787.8</v>
      </c>
      <c r="JK40">
        <f>IS40+JA40+JH40</f>
        <v>692.69999999999993</v>
      </c>
      <c r="JL40" s="3">
        <f>IF(Nbal!GT40&lt;&gt;"",Nbal!GT40,$JK40)</f>
        <v>692.69999999999993</v>
      </c>
      <c r="JM40" s="3">
        <f>JL40*Z40</f>
        <v>3498.1349999999993</v>
      </c>
      <c r="JO40">
        <f>VLOOKUP(R40,Afgr,Data!$AQ$3)*PlantevJust</f>
        <v>0</v>
      </c>
      <c r="JP40" s="3">
        <f>IF(Nbal!GZ40&lt;&gt;"",Nbal!GZ40,JO40)</f>
        <v>0</v>
      </c>
      <c r="JQ40" s="3">
        <f>JP40*Z40</f>
        <v>0</v>
      </c>
      <c r="JS40">
        <f>VLOOKUP(R40,Afgr,Data!$AR$3)+AM40*VLOOKUP(R40,Afgr,Data!$BH$3)</f>
        <v>0</v>
      </c>
      <c r="JT40" s="3">
        <f>IF(Nbal!HF40&lt;&gt;"",Nbal!HF40,JS40)</f>
        <v>0</v>
      </c>
      <c r="JU40">
        <f>JT40*Z40</f>
        <v>0</v>
      </c>
      <c r="JW40">
        <f>IP40+JL40+JP40+JT40</f>
        <v>692.69999999999993</v>
      </c>
      <c r="JY40">
        <f>IF(VLOOKUP(R40,Afgr,Data!$BY$3)&gt;0,Data!$K$259*J40,0)</f>
        <v>0</v>
      </c>
      <c r="JZ40">
        <f>IF(VLOOKUP(R40,Afgr,Data!$BZ$3)&gt;0,Data!$K$260*J40,0)</f>
        <v>0</v>
      </c>
      <c r="KA40">
        <f>(JY40+JZ40)*MaskJust</f>
        <v>0</v>
      </c>
      <c r="KB40" s="3">
        <f>IF(Nbal!HL40&lt;&gt;"",Nbal!HL40,KA40)</f>
        <v>0</v>
      </c>
      <c r="KC40" s="3">
        <f>KB40*Z40</f>
        <v>0</v>
      </c>
      <c r="KE40">
        <f>IF(VLOOKUP(R40,Afgr,Data!$CA$3)&gt;0,VLOOKUP(R40,Afgr,Data!$CA$3)*Data!$K$261*K40,0)</f>
        <v>0</v>
      </c>
      <c r="KF40">
        <f>IF(VLOOKUP(R40,Afgr,Data!$CC$3)&gt;0,Data!$K$262*K40,0)</f>
        <v>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0</v>
      </c>
      <c r="KM40" s="3">
        <f>IF(Nbal!HR40&lt;&gt;"",Nbal!HR40,KL40)</f>
        <v>0</v>
      </c>
      <c r="KN40" s="3">
        <f>KM40*Z40</f>
        <v>0</v>
      </c>
      <c r="KP40">
        <f>IF(VLOOKUP(R40,Afgr,Data!$CJ$3)&gt;0,VLOOKUP(R40,Afgr,Data!$CJ$3)*Data!$K$268*K40,0)*MaskJust</f>
        <v>280</v>
      </c>
      <c r="KQ40" s="3">
        <f>IF(Nbal!HX40&lt;&gt;"",Nbal!HX40,KP40)</f>
        <v>280</v>
      </c>
      <c r="KR40" s="3">
        <f>KQ40*Z40</f>
        <v>1414</v>
      </c>
      <c r="KT40">
        <f>IF(VLOOKUP(R40,Afgr,Data!$CI$3)&gt;0,VLOOKUP(R40,Afgr,Data!$CI$3)*Data!$K$269,0)*MaskJust</f>
        <v>0</v>
      </c>
      <c r="KU40" s="3">
        <f>IF(Nbal!ID40&lt;&gt;"",Nbal!ID40,KT40)</f>
        <v>0</v>
      </c>
      <c r="KV40" s="3">
        <f>KU40*Z40</f>
        <v>0</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0</v>
      </c>
      <c r="LE40">
        <f>IF(VLOOKUP($R40,Afgr,Data!$CK$3)&gt;0,IF(AND($S40=2,$BA40&gt;0),Data!$K$271,0),0)</f>
        <v>0</v>
      </c>
      <c r="LF40">
        <f>IF(VLOOKUP($R40,Afgr,Data!$CK$3)&gt;0,(AM40/VLOOKUP($R40,Afgr,Data!$CK$3))*VLOOKUP($R40,Afgr,Data!$CO$3)*VLOOKUP($R40,Afgr,Data!$CN$3),0)</f>
        <v>0</v>
      </c>
      <c r="LG40">
        <f>(LD40+LE40+LF40)*MaskJust</f>
        <v>0</v>
      </c>
      <c r="LH40" s="3">
        <f>IF(Nbal!IV40&lt;&gt;"",Nbal!IV40,LG40)</f>
        <v>0</v>
      </c>
      <c r="LI40" s="3">
        <f>LH40*Z40</f>
        <v>0</v>
      </c>
      <c r="LJ40" s="3"/>
      <c r="LK40">
        <f>IF(AND($S40=1,VLOOKUP($R40,Afgr,Data!$CP$3)&gt;0),((1+$BC40/VLOOKUP($R40,Afgr,Data!$CP$3))/2)*VLOOKUP($R40,Afgr,Data!$CQ$3),0)</f>
        <v>0</v>
      </c>
      <c r="LL40">
        <f>IF(AND($S40=1,VLOOKUP($R40,Afgr,Data!$CP$3)&gt;0),($BC40/VLOOKUP($R40,Afgr,Data!$CP$3))*VLOOKUP($R40,Afgr,Data!$CR$3),0)</f>
        <v>0</v>
      </c>
      <c r="LM40">
        <f>(LK40+LL40)*MaskJust</f>
        <v>0</v>
      </c>
      <c r="LN40" s="3">
        <f>IF(Nbal!JB40&lt;&gt;"",Nbal!JB40,LM40)</f>
        <v>0</v>
      </c>
      <c r="LO40" s="3">
        <f>LN40*Z40</f>
        <v>0</v>
      </c>
      <c r="LQ40">
        <f>$AM40*VLOOKUP($R40,Afgr,Data!$CS$3)*IF($V40=1,VLOOKUP($R40,Afgr,Data!$CT$3),IF($V40=2,VLOOKUP($R40,Afgr,Data!$CU$3),0))</f>
        <v>0</v>
      </c>
      <c r="LR40" s="3">
        <f>IF(Nbal!JK40&lt;&gt;"",Nbal!JK40,LQ40)</f>
        <v>0</v>
      </c>
      <c r="LS40" s="3">
        <f>LR40*Z40</f>
        <v>0</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3600</v>
      </c>
      <c r="OE40">
        <f>JW40+MZ40</f>
        <v>692.69999999999993</v>
      </c>
      <c r="OF40">
        <f>OD40-OE40</f>
        <v>2907.3</v>
      </c>
      <c r="OG40">
        <f>OF40*Z40</f>
        <v>14681.865</v>
      </c>
      <c r="OJ40">
        <f>VLOOKUP($O40,Afgr,Data!$BP$3)+VLOOKUP($P40,Efgr,Data!$AM$53)</f>
        <v>0</v>
      </c>
      <c r="OK40" s="3">
        <f>OJ40*Z40</f>
        <v>0</v>
      </c>
      <c r="OL40">
        <f>VLOOKUP($R40,Afgr,Data!$BP$3)+VLOOKUP($T40,Efgr,Data!$AM$53)</f>
        <v>0</v>
      </c>
      <c r="OM40" s="3">
        <f>OL40*Z40</f>
        <v>0</v>
      </c>
      <c r="OO40">
        <f>VLOOKUP($P40,Efgr,Data!$AN$53)</f>
        <v>0</v>
      </c>
      <c r="OP40">
        <f>VLOOKUP($O40,Afgr,Data!$BQ$3)</f>
        <v>0</v>
      </c>
      <c r="OQ40">
        <f>VLOOKUP($R40,Afgr,Data!$BR$3)</f>
        <v>0</v>
      </c>
      <c r="OR40">
        <f>OO40*OP40*OQ40</f>
        <v>0</v>
      </c>
      <c r="OS40" s="3">
        <f>OR40*Z40</f>
        <v>0</v>
      </c>
      <c r="OT40" s="3">
        <f>IF(Q40,1,0)*OS40</f>
        <v>0</v>
      </c>
      <c r="OV40">
        <f>VLOOKUP($T40,Efgr,Data!$AN$53)</f>
        <v>0</v>
      </c>
      <c r="OW40">
        <f>VLOOKUP($R40,Afgr,Data!$BQ$3)</f>
        <v>0</v>
      </c>
      <c r="OX40">
        <f>VLOOKUP($X40,Afgr,Data!$BR$3)</f>
        <v>0</v>
      </c>
      <c r="OY40">
        <f>OV40*OW40*OX40</f>
        <v>0</v>
      </c>
      <c r="OZ40" s="3">
        <f>OY40*Z40</f>
        <v>0</v>
      </c>
      <c r="PB40">
        <f>VLOOKUP($T40,Efgr,Data!$AO$53)</f>
        <v>0</v>
      </c>
      <c r="PC40">
        <f>VLOOKUP($O40,Afgr,Data!$BQ$3)</f>
        <v>0</v>
      </c>
      <c r="PD40">
        <f>VLOOKUP($R40,Afgr,Data!$BS$3)</f>
        <v>0</v>
      </c>
      <c r="PE40" s="3">
        <f>PB40*PC40*PD40*$Z40</f>
        <v>0</v>
      </c>
      <c r="PG40">
        <f>VLOOKUP($T40,Efgr,Data!$AO$53)</f>
        <v>0</v>
      </c>
      <c r="PH40">
        <f>VLOOKUP($R40,Afgr,Data!$BQ$3)</f>
        <v>0</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5.05</v>
      </c>
      <c r="PT40">
        <f>VLOOKUP($O40,Afgr,Data!$BT$3)</f>
        <v>1</v>
      </c>
      <c r="PU40" s="3">
        <f>PT40*Z40</f>
        <v>5.05</v>
      </c>
      <c r="PV40">
        <f>VLOOKUP($R40,Afgr,Data!$BT$3)</f>
        <v>1</v>
      </c>
      <c r="PW40" s="3">
        <f>PV40*Z40</f>
        <v>5.05</v>
      </c>
      <c r="PY40">
        <f>VLOOKUP($R40,Afgr,Data!$BV$3)</f>
        <v>0</v>
      </c>
      <c r="PZ40">
        <f>PY40*Z40</f>
        <v>0</v>
      </c>
      <c r="QB40">
        <f>VLOOKUP($R40,Afgr,Data!$BW$3)</f>
        <v>0</v>
      </c>
      <c r="QC40">
        <f>QB40*Z40</f>
        <v>0</v>
      </c>
      <c r="QE40">
        <f>AM40*IF(VLOOKUP($R40,Afgr,Data!$BJ$3)&gt;0,1,0)</f>
        <v>0</v>
      </c>
      <c r="QF40">
        <f>QE40*Z40</f>
        <v>0</v>
      </c>
      <c r="QH40">
        <f>AM40*VLOOKUP(R40,Afgr,Data!$BK$3)</f>
        <v>0</v>
      </c>
      <c r="QI40">
        <f>Z40*QH40</f>
        <v>0</v>
      </c>
      <c r="QJ40">
        <f>$AM40*VLOOKUP($R40,Afgr,Data!$BL$3)+$BR40*VLOOKUP($T40,Efgr,Data!$AP$53)</f>
        <v>3000</v>
      </c>
      <c r="QK40">
        <f>QJ40*Z40</f>
        <v>15150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0</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0</v>
      </c>
      <c r="RI40">
        <f>FF40*VLOOKUP(B40,Jordtype,Data!$AB$112+DenitNr-1)</f>
        <v>0</v>
      </c>
      <c r="RJ40">
        <f>((CJ40+CK40+CL40+Regn2!CO40*0.7)-(RR40+RT40))*VLOOKUP(B40,Jordtype,Data!$AE$112+DenitNr-1)</f>
        <v>0</v>
      </c>
      <c r="RK40">
        <f>0*VLOOKUP(B40,Jordtype,Data!$AE$112+DenitNr-1)</f>
        <v>0</v>
      </c>
      <c r="RL40">
        <f>Regn2!FD40*VLOOKUP(B40,Jordtype,Data!$AH$112+DenitNr-1)</f>
        <v>0</v>
      </c>
      <c r="RM40" s="3">
        <f>RH40+RI40+RJ40+RK40+RL40</f>
        <v>0</v>
      </c>
      <c r="RO40">
        <v>2</v>
      </c>
      <c r="RP40">
        <f>(FF40)*RO40*0.01</f>
        <v>1.04</v>
      </c>
      <c r="RQ40">
        <v>7</v>
      </c>
      <c r="RR40">
        <f>CE40*RQ40*0.01</f>
        <v>0</v>
      </c>
      <c r="RS40">
        <v>7</v>
      </c>
      <c r="RT40">
        <f>(Regn2!CF40+Regn2!CG40)*RS40*0.01</f>
        <v>0</v>
      </c>
      <c r="RW40">
        <f>VLOOKUP(R40,Afgr,Data!$EE$3)</f>
        <v>0</v>
      </c>
      <c r="RX40" s="3">
        <f>RP40+RR40+RT40+RV40+RW40</f>
        <v>1.04</v>
      </c>
    </row>
    <row r="42" spans="1:492" x14ac:dyDescent="0.25">
      <c r="A42" s="214" t="str">
        <f>Nbal!B42</f>
        <v>18-1</v>
      </c>
      <c r="B42">
        <v>11</v>
      </c>
      <c r="C42">
        <v>1</v>
      </c>
      <c r="D42">
        <f>IF(C42=1,VLOOKUP(B42,Jordtype,Data!$K$112),VLOOKUP(B42,Jordtype,Data!$L$112))</f>
        <v>7</v>
      </c>
      <c r="E42">
        <f>IF(C42=1,VLOOKUP(B42,Jordtype,Data!$M$112),VLOOKUP(B42,Jordtype,Data!$N$112))</f>
        <v>12</v>
      </c>
      <c r="F42">
        <f>IF(OR(B42=1,B42=3),0,IF(OR(B42=2,B42=4),1,IF(OR(B42=5,B42=6),2,3)))</f>
        <v>3</v>
      </c>
      <c r="G42">
        <f>IF(C42=1,VLOOKUP(B42,Jordtype,Data!$Q$112),VLOOKUP(B42,Jordtype,Data!$R$112))</f>
        <v>23</v>
      </c>
      <c r="H42">
        <f>IF(C42=1,VLOOKUP(B42,Jordtype,Data!$O$112),VLOOKUP(B42,Jordtype,Data!$P$112))</f>
        <v>17</v>
      </c>
      <c r="I42">
        <f>IF(B42&lt;5,0,1)</f>
        <v>1</v>
      </c>
      <c r="J42">
        <f>IF(B42&lt;5,PlojJB,1)</f>
        <v>1</v>
      </c>
      <c r="K42">
        <f>IF(B42&lt;5,SaaJB,1)</f>
        <v>1</v>
      </c>
      <c r="L42">
        <f>IF(C42=1,VLOOKUP(B42,Jordtype,Data!$S$112),VLOOKUP(B42,Jordtype,Data!$T$112))</f>
        <v>6</v>
      </c>
      <c r="M42">
        <f>IF(C42=1,VLOOKUP(B42,Jordtype,Data!$U$112),VLOOKUP(B42,Jordtype,Data!$V$112))</f>
        <v>11</v>
      </c>
      <c r="O42">
        <v>26</v>
      </c>
      <c r="P42">
        <v>1</v>
      </c>
      <c r="Q42" t="b">
        <v>0</v>
      </c>
      <c r="R42">
        <v>26</v>
      </c>
      <c r="S42">
        <v>1</v>
      </c>
      <c r="T42">
        <v>1</v>
      </c>
      <c r="U42">
        <v>1</v>
      </c>
      <c r="V42">
        <v>1</v>
      </c>
      <c r="X42">
        <v>26</v>
      </c>
      <c r="Z42">
        <f>Nbal!AG42</f>
        <v>2.38</v>
      </c>
      <c r="AA42">
        <v>4</v>
      </c>
      <c r="AB42">
        <f>VLOOKUP($R42,Afgr,G42)</f>
        <v>134</v>
      </c>
      <c r="AC42">
        <f>VLOOKUP($O42,Afgr,Data!$AI$3)*VLOOKUP(R42,Afgr,Data!$AJ$3)</f>
        <v>0</v>
      </c>
      <c r="AD42">
        <f>IF($Q42,0,VLOOKUP($P42,Efgr,(Data!$W$53+$V$6-1)))</f>
        <v>0</v>
      </c>
      <c r="AE42">
        <f>AB42-AC42-AD42</f>
        <v>134</v>
      </c>
      <c r="AF42">
        <f>AE42*Z42</f>
        <v>318.91999999999996</v>
      </c>
      <c r="AH42">
        <f>VLOOKUP(R42,Afgr,D42)</f>
        <v>3000</v>
      </c>
      <c r="AI42">
        <f>VLOOKUP(O42,Afgr,Data!$AL$3)*VLOOKUP(R42,Afgr,E42)</f>
        <v>0</v>
      </c>
      <c r="AJ42">
        <f>VLOOKUP(P42,Efgr,(Data!$Y$53+I42))</f>
        <v>0</v>
      </c>
      <c r="AK42">
        <f>AH42+AI42+AJ42</f>
        <v>3000</v>
      </c>
      <c r="AL42">
        <f>AH42+AI42+AJ42</f>
        <v>3000</v>
      </c>
      <c r="AM42" s="3">
        <f>IF(Nbal!CK42&lt;&gt;"",Nbal!CK42,AL42)</f>
        <v>3000</v>
      </c>
      <c r="AN42">
        <f>AM42*Z42</f>
        <v>7140</v>
      </c>
      <c r="AO42" t="str">
        <f>VLOOKUP(R42,Afgr,3)</f>
        <v>FE</v>
      </c>
      <c r="AP42">
        <f>IF(AO42="FE",VLOOKUP($R42,Afgr,Data!$AV$3),0)</f>
        <v>1.1599999999999999</v>
      </c>
      <c r="AR42">
        <f>VLOOKUP(R42,Afgr,4)</f>
        <v>1.2</v>
      </c>
      <c r="AS42" s="3">
        <f>IF(Nbal!CW42&lt;&gt;"",Nbal!CW42,AR42)</f>
        <v>1.2</v>
      </c>
      <c r="AT42" s="3">
        <f>AM42*AS42</f>
        <v>3600</v>
      </c>
      <c r="AU42" s="3">
        <f>AN42*AS42</f>
        <v>8568</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52</v>
      </c>
      <c r="CB42" s="2">
        <f>Nbal!DZ42</f>
        <v>0</v>
      </c>
      <c r="CC42" s="211">
        <f>Nbal!AT42+Nbal!DZ42</f>
        <v>52</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7</v>
      </c>
      <c r="CR42">
        <f>Nbal!EC42</f>
        <v>0</v>
      </c>
      <c r="CS42">
        <f>(CQ42+CR42)*Z42</f>
        <v>16.66</v>
      </c>
      <c r="CT42">
        <f>Nbal!CB42</f>
        <v>0</v>
      </c>
      <c r="CU42">
        <f>Nbal!EV42</f>
        <v>0</v>
      </c>
      <c r="CV42">
        <f>(CT42+CU42)*Z42</f>
        <v>0</v>
      </c>
      <c r="CW42">
        <f>Nbal!BA42+Nbal!CB42+Nbal!EC42+Nbal!EV42</f>
        <v>7</v>
      </c>
      <c r="CY42">
        <f>Nbal!BD42</f>
        <v>24</v>
      </c>
      <c r="CZ42">
        <f>Nbal!EF42</f>
        <v>0</v>
      </c>
      <c r="DA42">
        <f>(CY42+CZ42)*Z42</f>
        <v>57.12</v>
      </c>
      <c r="DB42">
        <f>Nbal!CE42</f>
        <v>0</v>
      </c>
      <c r="DC42">
        <f>Nbal!EY42</f>
        <v>0</v>
      </c>
      <c r="DD42">
        <f>(DB42+DC42)*Z42</f>
        <v>0</v>
      </c>
      <c r="DE42">
        <f>Nbal!BD42+Nbal!CE42+Nbal!EF42+Nbal!EY42</f>
        <v>24</v>
      </c>
      <c r="DG42">
        <f>VLOOKUP($R42,Afgr,Data!$AW$3)</f>
        <v>14</v>
      </c>
      <c r="DH42">
        <f>IF($AO42="FE",$AM42*$AP42*$DG42*0.01,$AM42*100*$DM42*0.01*$DG42*0.01)</f>
        <v>487.19999999999993</v>
      </c>
      <c r="DI42">
        <f>IF(VLOOKUP(R42,Afgr,Data!$BO$3)=1,DH42,0)*Z42</f>
        <v>0</v>
      </c>
      <c r="DJ42" s="12">
        <f>(BZ42+CC42+CJ42-AE42)*VLOOKUP($R42,Afgr,Data!$AX$3)</f>
        <v>0</v>
      </c>
      <c r="DK42">
        <f>DG42+DJ42</f>
        <v>14</v>
      </c>
      <c r="DL42">
        <f>IF(Nbal!CQ42&lt;&gt;"",Nbal!CQ42,DK42)</f>
        <v>14</v>
      </c>
      <c r="DM42">
        <f>VLOOKUP(R42,Afgr,Data!$AT$3)</f>
        <v>0</v>
      </c>
      <c r="DN42">
        <f>IF($AO42="FE",$AM42*$AP42*$DL42*0.01,$AM42*100*$DM42*0.01*DL42*0.01)</f>
        <v>487.19999999999993</v>
      </c>
      <c r="DO42">
        <f>IF(VLOOKUP(R42,Afgr,Data!$BO$3)=1,DN42,0)*Z42</f>
        <v>0</v>
      </c>
      <c r="DP42">
        <f>IF(ISERROR(DN42/VLOOKUP(R42,Afgr,Data!$AY$3)),0,DN42/VLOOKUP(R42,Afgr,Data!$AY$3))</f>
        <v>77.951999999999984</v>
      </c>
      <c r="DQ42">
        <f>DP42*Z42</f>
        <v>185.52575999999996</v>
      </c>
      <c r="DS42">
        <f>IF($AO42="FE",$AM42*$AP42*VLOOKUP($R42,Afgr,Data!$BC$3)*0.001,$AM42*100*$DM42*0.01*VLOOKUP($R42,Afgr,Data!$BC$3)*0.001)</f>
        <v>9.743999999999998</v>
      </c>
      <c r="DT42">
        <f>DS42*Z42</f>
        <v>23.190719999999995</v>
      </c>
      <c r="DV42">
        <f>IF($AO42="FE",$AM42*$AP42*VLOOKUP($R42,Afgr,Data!$BF$3)*0.001,$AM42*100*$DM42*0.01*VLOOKUP($R42,Afgr,Data!$BF$3)*0.001)</f>
        <v>62.639999999999993</v>
      </c>
      <c r="DW42">
        <f>DV42*Z42</f>
        <v>149.08319999999998</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52</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52</v>
      </c>
      <c r="FG42" s="211">
        <f>FF42*Z42</f>
        <v>123.75999999999999</v>
      </c>
      <c r="FH42" s="211">
        <f>CE42+CH42+CO42</f>
        <v>0</v>
      </c>
      <c r="FI42" s="211">
        <f>FH42*Z42</f>
        <v>0</v>
      </c>
      <c r="FJ42">
        <f>VLOOKUP($R42,Afgr,Data!$DK$3)*VLOOKUP($R42,Afgr,Data!$AT$3)*0.01*VLOOKUP($R42,Afgr,Data!$AW$3)*0.01/6.25</f>
        <v>0</v>
      </c>
      <c r="FK42">
        <f>FJ42*Z42</f>
        <v>0</v>
      </c>
      <c r="FL42" s="4">
        <f>IF(R42&gt;1,Deposition,0)</f>
        <v>15</v>
      </c>
      <c r="FM42" s="4">
        <f>FL42*Z42</f>
        <v>35.699999999999996</v>
      </c>
      <c r="FN42">
        <f>FC42</f>
        <v>0</v>
      </c>
      <c r="FO42">
        <f>FN42*Z42</f>
        <v>0</v>
      </c>
      <c r="FP42" s="211">
        <f>SUM(FF42,FH42,FJ42,FL42,FN42)</f>
        <v>67</v>
      </c>
      <c r="FQ42">
        <f>DP42+EB42+EL42</f>
        <v>77.951999999999984</v>
      </c>
      <c r="FR42" s="3">
        <f>FP42-FQ42</f>
        <v>-10.951999999999984</v>
      </c>
      <c r="FS42" s="19">
        <f>FP42*Z42</f>
        <v>159.45999999999998</v>
      </c>
      <c r="FT42" s="19">
        <f>FQ42*Z42</f>
        <v>185.52575999999996</v>
      </c>
      <c r="FU42" s="3">
        <f>FR42*Z42</f>
        <v>-26.065759999999962</v>
      </c>
      <c r="FW42">
        <f>CW42</f>
        <v>7</v>
      </c>
      <c r="FX42">
        <f>FW42*Z42</f>
        <v>16.66</v>
      </c>
      <c r="FY42">
        <f>IX42+MB42</f>
        <v>9.743999999999998</v>
      </c>
      <c r="FZ42">
        <f>FY42*Z42</f>
        <v>23.190719999999995</v>
      </c>
      <c r="GA42">
        <f>FW42-FY42</f>
        <v>-2.743999999999998</v>
      </c>
      <c r="GB42">
        <f>GA42*Z42</f>
        <v>-6.5307199999999952</v>
      </c>
      <c r="GD42">
        <f>DE42</f>
        <v>24</v>
      </c>
      <c r="GE42">
        <f>GD42*Z42</f>
        <v>57.12</v>
      </c>
      <c r="GF42">
        <f>JE42+MH42</f>
        <v>62.639999999999993</v>
      </c>
      <c r="GG42">
        <f>GF42*Z42</f>
        <v>149.08319999999998</v>
      </c>
      <c r="GH42">
        <f>GD42-GF42</f>
        <v>-38.639999999999993</v>
      </c>
      <c r="GI42">
        <f>GH42*Z42</f>
        <v>-91.963199999999986</v>
      </c>
      <c r="GK42">
        <f>AA42</f>
        <v>4</v>
      </c>
      <c r="GL42" s="211">
        <f>FF42+FH42+FN42</f>
        <v>52</v>
      </c>
      <c r="GM42" s="211" t="str">
        <f>IF(R42=1,"",IF(GK42=1,GL42,""))</f>
        <v/>
      </c>
      <c r="GN42" s="211" t="str">
        <f>IF(R42=1,"",IF(GK42=2,GL42,""))</f>
        <v/>
      </c>
      <c r="GO42" s="211" t="str">
        <f>IF(R42=1,"",IF(GK42=3,GL42,""))</f>
        <v/>
      </c>
      <c r="GP42" s="211">
        <f>IF(R42=1,"",IF(GK42=4,GL42,""))</f>
        <v>52</v>
      </c>
      <c r="GQ42" s="149">
        <f>IF(OR(R42=1,VLOOKUP(R42,Afgr,Data!$BV$3)=1,VLOOKUP(R42,Afgr,Data!$BW$3)=1),0,IF(GK42=1,Nniveau1,IF(GK42=2,Nniveau2,IF(GK42=3,Nniveau3,IF(GK42=4,Nniveau4,GL42)))))</f>
        <v>46.222222222222221</v>
      </c>
      <c r="GR42" s="241">
        <v>0.32550000000000001</v>
      </c>
      <c r="GS42" s="6">
        <v>0</v>
      </c>
      <c r="GT42" s="149">
        <f>CC42+CM42</f>
        <v>52</v>
      </c>
      <c r="GU42" s="6">
        <f>$FN42</f>
        <v>0</v>
      </c>
      <c r="GV42" s="241">
        <v>0.25280000000000002</v>
      </c>
      <c r="GW42">
        <f>CO42</f>
        <v>0</v>
      </c>
      <c r="GX42" s="241">
        <v>0.376</v>
      </c>
      <c r="GY42" s="149">
        <f>CD42+CN42</f>
        <v>0</v>
      </c>
      <c r="GZ42" s="241">
        <f>IF(B42&gt;3,0.3539,1.0749)</f>
        <v>0.35389999999999999</v>
      </c>
      <c r="HA42" s="11">
        <f>$FQ42</f>
        <v>77.951999999999984</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-117.90057386666665</v>
      </c>
      <c r="HJ42" s="241">
        <f>Nlesafskaering</f>
        <v>59.6</v>
      </c>
      <c r="HK42" s="241">
        <f>Teknologi1</f>
        <v>2455</v>
      </c>
      <c r="HL42" s="6">
        <v>2001</v>
      </c>
      <c r="HM42" s="241">
        <f>Teknologi2</f>
        <v>1962.2</v>
      </c>
      <c r="HN42" s="241">
        <f>Tandel</f>
        <v>0.54659999999999997</v>
      </c>
      <c r="HO42" s="241">
        <f>IF(OR(HI42&gt;0,HI42=0),HJ42+HK42/(HL42-HM42),HJ42+HK42/(HL42-HM42)+HN42*HI42)</f>
        <v>58.428742200768752</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26</v>
      </c>
      <c r="HY42" s="241">
        <v>3.2500000000000001E-2</v>
      </c>
      <c r="HZ42" s="6">
        <f>VLOOKUP(B42,Jordtype,Data!$X$112)</f>
        <v>5</v>
      </c>
      <c r="IA42" s="241">
        <v>1.2453000000000001</v>
      </c>
      <c r="IB42" s="241">
        <f>IF(VLOOKUP(T42,Efgr,Data!$AO$53)=1,MlafgrNUdvask,0)</f>
        <v>0</v>
      </c>
      <c r="IC42" s="20">
        <f>IF(ISERROR((HO42+POWER(HP42,1.2))*(1-EXP(-HQ42*HS42))*EXP(-HT42*HV42)*EXP(-HW42*HX42)*EXP(-HY42*HZ42)*IA42),0,(HO42+POWER(HP42,1.2))*(1-EXP(-HQ42*HS42))*EXP(-HT42*HV42)*EXP(-HW42*HX42)*EXP(-HY42*HZ42)*IA42+IB42)</f>
        <v>1.1228840974698513</v>
      </c>
      <c r="ID42">
        <f>IC42*Z42</f>
        <v>2.6724641519782462</v>
      </c>
      <c r="IE42">
        <f>IF(Nbal!GF42&lt;&gt;"",Nbal!GF42,RetentionNbal)</f>
        <v>65</v>
      </c>
      <c r="IF42">
        <f>IC42*(100-IE42)*0.01</f>
        <v>0.393009434114448</v>
      </c>
      <c r="IG42">
        <f>IF42*Z42</f>
        <v>0.9353624531923862</v>
      </c>
      <c r="IH42" s="2">
        <f>HS42*10000</f>
        <v>2723233.3333333298</v>
      </c>
      <c r="II42" s="2">
        <f>IH42*Z42</f>
        <v>6481295.3333333246</v>
      </c>
      <c r="IJ42">
        <f>IF(ISERROR(IC42*1000*1000/IH42),0,IC42*1000*1000/IH42)</f>
        <v>0.41233488284876529</v>
      </c>
      <c r="IL42">
        <f>AT42+AX42+BK42+BU42</f>
        <v>3600</v>
      </c>
      <c r="IO42">
        <f>VLOOKUP(R42,Afgr,Data!$AP$3)*UdsaedJust</f>
        <v>0</v>
      </c>
      <c r="IP42" s="3">
        <f>IF(Nbal!GN42&lt;&gt;"",Nbal!GN42,IO42)</f>
        <v>0</v>
      </c>
      <c r="IQ42" s="3">
        <f>IP42*Z42</f>
        <v>0</v>
      </c>
      <c r="IS42" s="3">
        <f>IF(HdgVaerdiNbal=1,(BZ42+CA42)*Npris,(BZ42+CA42+CJ42+CK42)*Npris)</f>
        <v>439.4</v>
      </c>
      <c r="IT42" s="3">
        <f>IS42*Z42</f>
        <v>1045.7719999999999</v>
      </c>
      <c r="IV42">
        <f>VLOOKUP($R42,Afgr,Data!$BA$3)</f>
        <v>0</v>
      </c>
      <c r="IW42">
        <f>VLOOKUP($R42,Afgr,Data!$BB$3)</f>
        <v>0</v>
      </c>
      <c r="IX42">
        <f>$DS42+$EE42</f>
        <v>9.743999999999998</v>
      </c>
      <c r="IY42">
        <f>CT42</f>
        <v>0</v>
      </c>
      <c r="IZ42">
        <f>CQ42</f>
        <v>7</v>
      </c>
      <c r="JA42" s="3">
        <f>IF(HdgVaerdiNbal=1,(IZ42)*Ppris,(IY42+IZ42)*Ppris)</f>
        <v>97.3</v>
      </c>
      <c r="JB42" s="3">
        <f>JA42*Z42</f>
        <v>231.57399999999998</v>
      </c>
      <c r="JD42">
        <f>IF(AND(R42&gt;1,OR(Jordtype1=1,Jordtype1=3,Markvand1=2)),Kudvask,0)</f>
        <v>0</v>
      </c>
      <c r="JE42">
        <f>$DV42+$EH42</f>
        <v>62.639999999999993</v>
      </c>
      <c r="JF42">
        <f>DB42</f>
        <v>0</v>
      </c>
      <c r="JG42">
        <f>CY42</f>
        <v>24</v>
      </c>
      <c r="JH42" s="3">
        <f>IF(HdgVaerdiNbal=1,JG42*Kpris,(JF42+JG42)*Kpris)</f>
        <v>156</v>
      </c>
      <c r="JI42" s="3">
        <f>JH42*Z42</f>
        <v>371.28</v>
      </c>
      <c r="JK42">
        <f>IS42+JA42+JH42</f>
        <v>692.69999999999993</v>
      </c>
      <c r="JL42" s="3">
        <f>IF(Nbal!GT42&lt;&gt;"",Nbal!GT42,$JK42)</f>
        <v>692.69999999999993</v>
      </c>
      <c r="JM42" s="3">
        <f>JL42*Z42</f>
        <v>1648.6259999999997</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692.69999999999993</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280</v>
      </c>
      <c r="KQ42" s="3">
        <f>IF(Nbal!HX42&lt;&gt;"",Nbal!HX42,KP42)</f>
        <v>280</v>
      </c>
      <c r="KR42" s="3">
        <f>KQ42*Z42</f>
        <v>666.4</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3600</v>
      </c>
      <c r="OE42">
        <f>JW42+MZ42</f>
        <v>692.69999999999993</v>
      </c>
      <c r="OF42">
        <f>OD42-OE42</f>
        <v>2907.3</v>
      </c>
      <c r="OG42">
        <f>OF42*Z42</f>
        <v>6919.3739999999998</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2.38</v>
      </c>
      <c r="PT42">
        <f>VLOOKUP($O42,Afgr,Data!$BT$3)</f>
        <v>1</v>
      </c>
      <c r="PU42" s="3">
        <f>PT42*Z42</f>
        <v>2.38</v>
      </c>
      <c r="PV42">
        <f>VLOOKUP($R42,Afgr,Data!$BT$3)</f>
        <v>1</v>
      </c>
      <c r="PW42" s="3">
        <f>PV42*Z42</f>
        <v>2.38</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3000</v>
      </c>
      <c r="QK42">
        <f>QJ42*Z42</f>
        <v>7140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0</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0</v>
      </c>
      <c r="RO42">
        <v>2</v>
      </c>
      <c r="RP42">
        <f>(FF42)*RO42*0.01</f>
        <v>1.04</v>
      </c>
      <c r="RQ42">
        <v>7</v>
      </c>
      <c r="RR42">
        <f>CE42*RQ42*0.01</f>
        <v>0</v>
      </c>
      <c r="RS42">
        <v>7</v>
      </c>
      <c r="RT42">
        <f>(Regn2!CF42+Regn2!CG42)*RS42*0.01</f>
        <v>0</v>
      </c>
      <c r="RW42">
        <f>VLOOKUP(R42,Afgr,Data!$EE$3)</f>
        <v>0</v>
      </c>
      <c r="RX42" s="3">
        <f>RP42+RR42+RT42+RV42+RW42</f>
        <v>1.04</v>
      </c>
    </row>
    <row r="44" spans="1:492" x14ac:dyDescent="0.25">
      <c r="A44" s="214" t="str">
        <f>Nbal!B44</f>
        <v>19-0</v>
      </c>
      <c r="B44">
        <v>11</v>
      </c>
      <c r="C44">
        <v>1</v>
      </c>
      <c r="D44">
        <f>IF(C44=1,VLOOKUP(B44,Jordtype,Data!$K$112),VLOOKUP(B44,Jordtype,Data!$L$112))</f>
        <v>7</v>
      </c>
      <c r="E44">
        <f>IF(C44=1,VLOOKUP(B44,Jordtype,Data!$M$112),VLOOKUP(B44,Jordtype,Data!$N$112))</f>
        <v>12</v>
      </c>
      <c r="F44">
        <f>IF(OR(B44=1,B44=3),0,IF(OR(B44=2,B44=4),1,IF(OR(B44=5,B44=6),2,3)))</f>
        <v>3</v>
      </c>
      <c r="G44">
        <f>IF(C44=1,VLOOKUP(B44,Jordtype,Data!$Q$112),VLOOKUP(B44,Jordtype,Data!$R$112))</f>
        <v>23</v>
      </c>
      <c r="H44">
        <f>IF(C44=1,VLOOKUP(B44,Jordtype,Data!$O$112),VLOOKUP(B44,Jordtype,Data!$P$112))</f>
        <v>17</v>
      </c>
      <c r="I44">
        <f>IF(B44&lt;5,0,1)</f>
        <v>1</v>
      </c>
      <c r="J44">
        <f>IF(B44&lt;5,PlojJB,1)</f>
        <v>1</v>
      </c>
      <c r="K44">
        <f>IF(B44&lt;5,SaaJB,1)</f>
        <v>1</v>
      </c>
      <c r="L44">
        <f>IF(C44=1,VLOOKUP(B44,Jordtype,Data!$S$112),VLOOKUP(B44,Jordtype,Data!$T$112))</f>
        <v>6</v>
      </c>
      <c r="M44">
        <f>IF(C44=1,VLOOKUP(B44,Jordtype,Data!$U$112),VLOOKUP(B44,Jordtype,Data!$V$112))</f>
        <v>11</v>
      </c>
      <c r="O44">
        <v>26</v>
      </c>
      <c r="P44">
        <v>1</v>
      </c>
      <c r="Q44" t="b">
        <v>0</v>
      </c>
      <c r="R44">
        <v>26</v>
      </c>
      <c r="S44">
        <v>1</v>
      </c>
      <c r="T44">
        <v>1</v>
      </c>
      <c r="U44">
        <v>1</v>
      </c>
      <c r="V44">
        <v>1</v>
      </c>
      <c r="X44">
        <v>26</v>
      </c>
      <c r="Z44">
        <f>Nbal!AG44</f>
        <v>1.1100000000000001</v>
      </c>
      <c r="AA44">
        <v>4</v>
      </c>
      <c r="AB44">
        <f>VLOOKUP($R44,Afgr,G44)</f>
        <v>134</v>
      </c>
      <c r="AC44">
        <f>VLOOKUP($O44,Afgr,Data!$AI$3)*VLOOKUP(R44,Afgr,Data!$AJ$3)</f>
        <v>0</v>
      </c>
      <c r="AD44">
        <f>IF($Q44,0,VLOOKUP($P44,Efgr,(Data!$W$53+$V$6-1)))</f>
        <v>0</v>
      </c>
      <c r="AE44">
        <f>AB44-AC44-AD44</f>
        <v>134</v>
      </c>
      <c r="AF44">
        <f>AE44*Z44</f>
        <v>148.74</v>
      </c>
      <c r="AH44">
        <f>VLOOKUP(R44,Afgr,D44)</f>
        <v>3000</v>
      </c>
      <c r="AI44">
        <f>VLOOKUP(O44,Afgr,Data!$AL$3)*VLOOKUP(R44,Afgr,E44)</f>
        <v>0</v>
      </c>
      <c r="AJ44">
        <f>VLOOKUP(P44,Efgr,(Data!$Y$53+I44))</f>
        <v>0</v>
      </c>
      <c r="AK44">
        <f>AH44+AI44+AJ44</f>
        <v>3000</v>
      </c>
      <c r="AL44">
        <f>AH44+AI44+AJ44</f>
        <v>3000</v>
      </c>
      <c r="AM44" s="3">
        <f>IF(Nbal!CK44&lt;&gt;"",Nbal!CK44,AL44)</f>
        <v>3000</v>
      </c>
      <c r="AN44">
        <f>AM44*Z44</f>
        <v>3330.0000000000005</v>
      </c>
      <c r="AO44" t="str">
        <f>VLOOKUP(R44,Afgr,3)</f>
        <v>FE</v>
      </c>
      <c r="AP44">
        <f>IF(AO44="FE",VLOOKUP($R44,Afgr,Data!$AV$3),0)</f>
        <v>1.1599999999999999</v>
      </c>
      <c r="AR44">
        <f>VLOOKUP(R44,Afgr,4)</f>
        <v>1.2</v>
      </c>
      <c r="AS44" s="3">
        <f>IF(Nbal!CW44&lt;&gt;"",Nbal!CW44,AR44)</f>
        <v>1.2</v>
      </c>
      <c r="AT44" s="3">
        <f>AM44*AS44</f>
        <v>3600</v>
      </c>
      <c r="AU44" s="3">
        <f>AN44*AS44</f>
        <v>3996.0000000000005</v>
      </c>
      <c r="AW44">
        <f>VLOOKUP(R44,Afgr,Data!$AN$3)</f>
        <v>0</v>
      </c>
      <c r="AX44" s="3">
        <f>IF(Nbal!DC44&lt;&gt;"",Nbal!DC44,AW44)</f>
        <v>0</v>
      </c>
      <c r="AY44" s="3">
        <f>AX44*Z44</f>
        <v>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52</v>
      </c>
      <c r="CB44" s="2">
        <f>Nbal!DZ44</f>
        <v>0</v>
      </c>
      <c r="CC44" s="211">
        <f>Nbal!AT44+Nbal!DZ44</f>
        <v>52</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7</v>
      </c>
      <c r="CR44">
        <f>Nbal!EC44</f>
        <v>0</v>
      </c>
      <c r="CS44">
        <f>(CQ44+CR44)*Z44</f>
        <v>7.7700000000000005</v>
      </c>
      <c r="CT44">
        <f>Nbal!CB44</f>
        <v>0</v>
      </c>
      <c r="CU44">
        <f>Nbal!EV44</f>
        <v>0</v>
      </c>
      <c r="CV44">
        <f>(CT44+CU44)*Z44</f>
        <v>0</v>
      </c>
      <c r="CW44">
        <f>Nbal!BA44+Nbal!CB44+Nbal!EC44+Nbal!EV44</f>
        <v>7</v>
      </c>
      <c r="CY44">
        <f>Nbal!BD44</f>
        <v>24</v>
      </c>
      <c r="CZ44">
        <f>Nbal!EF44</f>
        <v>0</v>
      </c>
      <c r="DA44">
        <f>(CY44+CZ44)*Z44</f>
        <v>26.64</v>
      </c>
      <c r="DB44">
        <f>Nbal!CE44</f>
        <v>0</v>
      </c>
      <c r="DC44">
        <f>Nbal!EY44</f>
        <v>0</v>
      </c>
      <c r="DD44">
        <f>(DB44+DC44)*Z44</f>
        <v>0</v>
      </c>
      <c r="DE44">
        <f>Nbal!BD44+Nbal!CE44+Nbal!EF44+Nbal!EY44</f>
        <v>24</v>
      </c>
      <c r="DG44">
        <f>VLOOKUP($R44,Afgr,Data!$AW$3)</f>
        <v>14</v>
      </c>
      <c r="DH44">
        <f>IF($AO44="FE",$AM44*$AP44*$DG44*0.01,$AM44*100*$DM44*0.01*$DG44*0.01)</f>
        <v>487.19999999999993</v>
      </c>
      <c r="DI44">
        <f>IF(VLOOKUP(R44,Afgr,Data!$BO$3)=1,DH44,0)*Z44</f>
        <v>0</v>
      </c>
      <c r="DJ44" s="12">
        <f>(BZ44+CC44+CJ44-AE44)*VLOOKUP($R44,Afgr,Data!$AX$3)</f>
        <v>0</v>
      </c>
      <c r="DK44">
        <f>DG44+DJ44</f>
        <v>14</v>
      </c>
      <c r="DL44">
        <f>IF(Nbal!CQ44&lt;&gt;"",Nbal!CQ44,DK44)</f>
        <v>14</v>
      </c>
      <c r="DM44">
        <f>VLOOKUP(R44,Afgr,Data!$AT$3)</f>
        <v>0</v>
      </c>
      <c r="DN44">
        <f>IF($AO44="FE",$AM44*$AP44*$DL44*0.01,$AM44*100*$DM44*0.01*DL44*0.01)</f>
        <v>487.19999999999993</v>
      </c>
      <c r="DO44">
        <f>IF(VLOOKUP(R44,Afgr,Data!$BO$3)=1,DN44,0)*Z44</f>
        <v>0</v>
      </c>
      <c r="DP44">
        <f>IF(ISERROR(DN44/VLOOKUP(R44,Afgr,Data!$AY$3)),0,DN44/VLOOKUP(R44,Afgr,Data!$AY$3))</f>
        <v>77.951999999999984</v>
      </c>
      <c r="DQ44">
        <f>DP44*Z44</f>
        <v>86.526719999999983</v>
      </c>
      <c r="DS44">
        <f>IF($AO44="FE",$AM44*$AP44*VLOOKUP($R44,Afgr,Data!$BC$3)*0.001,$AM44*100*$DM44*0.01*VLOOKUP($R44,Afgr,Data!$BC$3)*0.001)</f>
        <v>9.743999999999998</v>
      </c>
      <c r="DT44">
        <f>DS44*Z44</f>
        <v>10.815839999999998</v>
      </c>
      <c r="DV44">
        <f>IF($AO44="FE",$AM44*$AP44*VLOOKUP($R44,Afgr,Data!$BF$3)*0.001,$AM44*100*$DM44*0.01*VLOOKUP($R44,Afgr,Data!$BF$3)*0.001)</f>
        <v>62.639999999999993</v>
      </c>
      <c r="DW44">
        <f>DV44*Z44</f>
        <v>69.5304</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52</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52</v>
      </c>
      <c r="FG44" s="211">
        <f>FF44*Z44</f>
        <v>57.720000000000006</v>
      </c>
      <c r="FH44" s="211">
        <f>CE44+CH44+CO44</f>
        <v>0</v>
      </c>
      <c r="FI44" s="211">
        <f>FH44*Z44</f>
        <v>0</v>
      </c>
      <c r="FJ44">
        <f>VLOOKUP($R44,Afgr,Data!$DK$3)*VLOOKUP($R44,Afgr,Data!$AT$3)*0.01*VLOOKUP($R44,Afgr,Data!$AW$3)*0.01/6.25</f>
        <v>0</v>
      </c>
      <c r="FK44">
        <f>FJ44*Z44</f>
        <v>0</v>
      </c>
      <c r="FL44" s="4">
        <f>IF(R44&gt;1,Deposition,0)</f>
        <v>15</v>
      </c>
      <c r="FM44" s="4">
        <f>FL44*Z44</f>
        <v>16.650000000000002</v>
      </c>
      <c r="FN44">
        <f>FC44</f>
        <v>0</v>
      </c>
      <c r="FO44">
        <f>FN44*Z44</f>
        <v>0</v>
      </c>
      <c r="FP44" s="211">
        <f>SUM(FF44,FH44,FJ44,FL44,FN44)</f>
        <v>67</v>
      </c>
      <c r="FQ44">
        <f>DP44+EB44+EL44</f>
        <v>77.951999999999984</v>
      </c>
      <c r="FR44" s="3">
        <f>FP44-FQ44</f>
        <v>-10.951999999999984</v>
      </c>
      <c r="FS44" s="19">
        <f>FP44*Z44</f>
        <v>74.37</v>
      </c>
      <c r="FT44" s="19">
        <f>FQ44*Z44</f>
        <v>86.526719999999983</v>
      </c>
      <c r="FU44" s="3">
        <f>FR44*Z44</f>
        <v>-12.156719999999984</v>
      </c>
      <c r="FW44">
        <f>CW44</f>
        <v>7</v>
      </c>
      <c r="FX44">
        <f>FW44*Z44</f>
        <v>7.7700000000000005</v>
      </c>
      <c r="FY44">
        <f>IX44+MB44</f>
        <v>9.743999999999998</v>
      </c>
      <c r="FZ44">
        <f>FY44*Z44</f>
        <v>10.815839999999998</v>
      </c>
      <c r="GA44">
        <f>FW44-FY44</f>
        <v>-2.743999999999998</v>
      </c>
      <c r="GB44">
        <f>GA44*Z44</f>
        <v>-3.0458399999999979</v>
      </c>
      <c r="GD44">
        <f>DE44</f>
        <v>24</v>
      </c>
      <c r="GE44">
        <f>GD44*Z44</f>
        <v>26.64</v>
      </c>
      <c r="GF44">
        <f>JE44+MH44</f>
        <v>62.639999999999993</v>
      </c>
      <c r="GG44">
        <f>GF44*Z44</f>
        <v>69.5304</v>
      </c>
      <c r="GH44">
        <f>GD44-GF44</f>
        <v>-38.639999999999993</v>
      </c>
      <c r="GI44">
        <f>GH44*Z44</f>
        <v>-42.8904</v>
      </c>
      <c r="GK44">
        <f>AA44</f>
        <v>4</v>
      </c>
      <c r="GL44" s="211">
        <f>FF44+FH44+FN44</f>
        <v>52</v>
      </c>
      <c r="GM44" s="211" t="str">
        <f>IF(R44=1,"",IF(GK44=1,GL44,""))</f>
        <v/>
      </c>
      <c r="GN44" s="211" t="str">
        <f>IF(R44=1,"",IF(GK44=2,GL44,""))</f>
        <v/>
      </c>
      <c r="GO44" s="211" t="str">
        <f>IF(R44=1,"",IF(GK44=3,GL44,""))</f>
        <v/>
      </c>
      <c r="GP44" s="211">
        <f>IF(R44=1,"",IF(GK44=4,GL44,""))</f>
        <v>52</v>
      </c>
      <c r="GQ44" s="149">
        <f>IF(OR(R44=1,VLOOKUP(R44,Afgr,Data!$BV$3)=1,VLOOKUP(R44,Afgr,Data!$BW$3)=1),0,IF(GK44=1,Nniveau1,IF(GK44=2,Nniveau2,IF(GK44=3,Nniveau3,IF(GK44=4,Nniveau4,GL44)))))</f>
        <v>46.222222222222221</v>
      </c>
      <c r="GR44" s="241">
        <v>0.32550000000000001</v>
      </c>
      <c r="GS44" s="6">
        <v>0</v>
      </c>
      <c r="GT44" s="149">
        <f>CC44+CM44</f>
        <v>52</v>
      </c>
      <c r="GU44" s="6">
        <f>$FN44</f>
        <v>0</v>
      </c>
      <c r="GV44" s="241">
        <v>0.25280000000000002</v>
      </c>
      <c r="GW44">
        <f>CO44</f>
        <v>0</v>
      </c>
      <c r="GX44" s="241">
        <v>0.376</v>
      </c>
      <c r="GY44" s="149">
        <f>CD44+CN44</f>
        <v>0</v>
      </c>
      <c r="GZ44" s="241">
        <f>IF(B44&gt;3,0.3539,1.0749)</f>
        <v>0.35389999999999999</v>
      </c>
      <c r="HA44" s="11">
        <f>$FQ44</f>
        <v>77.951999999999984</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-117.90057386666665</v>
      </c>
      <c r="HJ44" s="241">
        <f>Nlesafskaering</f>
        <v>59.6</v>
      </c>
      <c r="HK44" s="241">
        <f>Teknologi1</f>
        <v>2455</v>
      </c>
      <c r="HL44" s="6">
        <v>2001</v>
      </c>
      <c r="HM44" s="241">
        <f>Teknologi2</f>
        <v>1962.2</v>
      </c>
      <c r="HN44" s="241">
        <f>Tandel</f>
        <v>0.54659999999999997</v>
      </c>
      <c r="HO44" s="241">
        <f>IF(OR(HI44&gt;0,HI44=0),HJ44+HK44/(HL44-HM44),HJ44+HK44/(HL44-HM44)+HN44*HI44)</f>
        <v>58.428742200768752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26</v>
      </c>
      <c r="HY44" s="241">
        <v>3.2500000000000001E-2</v>
      </c>
      <c r="HZ44" s="6">
        <f>VLOOKUP(B44,Jordtype,Data!$X$112)</f>
        <v>5</v>
      </c>
      <c r="IA44" s="241">
        <v>1.2453000000000001</v>
      </c>
      <c r="IB44" s="241">
        <f>IF(VLOOKUP(T44,Efgr,Data!$AO$53)=1,MlafgrNUdvask,0)</f>
        <v>0</v>
      </c>
      <c r="IC44" s="20">
        <f>IF(ISERROR((HO44+POWER(HP44,1.2))*(1-EXP(-HQ44*HS44))*EXP(-HT44*HV44)*EXP(-HW44*HX44)*EXP(-HY44*HZ44)*IA44),0,(HO44+POWER(HP44,1.2))*(1-EXP(-HQ44*HS44))*EXP(-HT44*HV44)*EXP(-HW44*HX44)*EXP(-HY44*HZ44)*IA44+IB44)</f>
        <v>1.1228840974698513</v>
      </c>
      <c r="ID44">
        <f>IC44*Z44</f>
        <v>1.246401348191535</v>
      </c>
      <c r="IE44">
        <f>IF(Nbal!GF44&lt;&gt;"",Nbal!GF44,RetentionNbal)</f>
        <v>65</v>
      </c>
      <c r="IF44">
        <f>IC44*(100-IE44)*0.01</f>
        <v>0.393009434114448</v>
      </c>
      <c r="IG44">
        <f>IF44*Z44</f>
        <v>0.43624047186703729</v>
      </c>
      <c r="IH44" s="2">
        <f>HS44*10000</f>
        <v>2723233.3333333298</v>
      </c>
      <c r="II44" s="2">
        <f>IH44*Z44</f>
        <v>3022788.9999999963</v>
      </c>
      <c r="IJ44">
        <f>IF(ISERROR(IC44*1000*1000/IH44),0,IC44*1000*1000/IH44)</f>
        <v>0.41233488284876529</v>
      </c>
      <c r="IL44">
        <f>AT44+AX44+BK44+BU44</f>
        <v>3600</v>
      </c>
      <c r="IO44">
        <f>VLOOKUP(R44,Afgr,Data!$AP$3)*UdsaedJust</f>
        <v>0</v>
      </c>
      <c r="IP44" s="3">
        <f>IF(Nbal!GN44&lt;&gt;"",Nbal!GN44,IO44)</f>
        <v>0</v>
      </c>
      <c r="IQ44" s="3">
        <f>IP44*Z44</f>
        <v>0</v>
      </c>
      <c r="IS44" s="3">
        <f>IF(HdgVaerdiNbal=1,(BZ44+CA44)*Npris,(BZ44+CA44+CJ44+CK44)*Npris)</f>
        <v>439.4</v>
      </c>
      <c r="IT44" s="3">
        <f>IS44*Z44</f>
        <v>487.73400000000004</v>
      </c>
      <c r="IV44">
        <f>VLOOKUP($R44,Afgr,Data!$BA$3)</f>
        <v>0</v>
      </c>
      <c r="IW44">
        <f>VLOOKUP($R44,Afgr,Data!$BB$3)</f>
        <v>0</v>
      </c>
      <c r="IX44">
        <f>$DS44+$EE44</f>
        <v>9.743999999999998</v>
      </c>
      <c r="IY44">
        <f>CT44</f>
        <v>0</v>
      </c>
      <c r="IZ44">
        <f>CQ44</f>
        <v>7</v>
      </c>
      <c r="JA44" s="3">
        <f>IF(HdgVaerdiNbal=1,(IZ44)*Ppris,(IY44+IZ44)*Ppris)</f>
        <v>97.3</v>
      </c>
      <c r="JB44" s="3">
        <f>JA44*Z44</f>
        <v>108.003</v>
      </c>
      <c r="JD44">
        <f>IF(AND(R44&gt;1,OR(Jordtype1=1,Jordtype1=3,Markvand1=2)),Kudvask,0)</f>
        <v>0</v>
      </c>
      <c r="JE44">
        <f>$DV44+$EH44</f>
        <v>62.639999999999993</v>
      </c>
      <c r="JF44">
        <f>DB44</f>
        <v>0</v>
      </c>
      <c r="JG44">
        <f>CY44</f>
        <v>24</v>
      </c>
      <c r="JH44" s="3">
        <f>IF(HdgVaerdiNbal=1,JG44*Kpris,(JF44+JG44)*Kpris)</f>
        <v>156</v>
      </c>
      <c r="JI44" s="3">
        <f>JH44*Z44</f>
        <v>173.16000000000003</v>
      </c>
      <c r="JK44">
        <f>IS44+JA44+JH44</f>
        <v>692.69999999999993</v>
      </c>
      <c r="JL44" s="3">
        <f>IF(Nbal!GT44&lt;&gt;"",Nbal!GT44,$JK44)</f>
        <v>692.69999999999993</v>
      </c>
      <c r="JM44" s="3">
        <f>JL44*Z44</f>
        <v>768.89700000000005</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692.69999999999993</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280</v>
      </c>
      <c r="KQ44" s="3">
        <f>IF(Nbal!HX44&lt;&gt;"",Nbal!HX44,KP44)</f>
        <v>280</v>
      </c>
      <c r="KR44" s="3">
        <f>KQ44*Z44</f>
        <v>310.8</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3600</v>
      </c>
      <c r="OE44">
        <f>JW44+MZ44</f>
        <v>692.69999999999993</v>
      </c>
      <c r="OF44">
        <f>OD44-OE44</f>
        <v>2907.3</v>
      </c>
      <c r="OG44">
        <f>OF44*Z44</f>
        <v>3227.1030000000005</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1.1100000000000001</v>
      </c>
      <c r="PT44">
        <f>VLOOKUP($O44,Afgr,Data!$BT$3)</f>
        <v>1</v>
      </c>
      <c r="PU44" s="3">
        <f>PT44*Z44</f>
        <v>1.1100000000000001</v>
      </c>
      <c r="PV44">
        <f>VLOOKUP($R44,Afgr,Data!$BT$3)</f>
        <v>1</v>
      </c>
      <c r="PW44" s="3">
        <f>PV44*Z44</f>
        <v>1.1100000000000001</v>
      </c>
      <c r="PY44">
        <f>VLOOKUP($R44,Afgr,Data!$BV$3)</f>
        <v>0</v>
      </c>
      <c r="PZ44">
        <f>PY44*Z44</f>
        <v>0</v>
      </c>
      <c r="QB44">
        <f>VLOOKUP($R44,Afgr,Data!$BW$3)</f>
        <v>0</v>
      </c>
      <c r="QC44">
        <f>QB44*Z44</f>
        <v>0</v>
      </c>
      <c r="QE44">
        <f>AM44*IF(VLOOKUP($R44,Afgr,Data!$BJ$3)&gt;0,1,0)</f>
        <v>0</v>
      </c>
      <c r="QF44">
        <f>QE44*Z44</f>
        <v>0</v>
      </c>
      <c r="QH44">
        <f>AM44*VLOOKUP(R44,Afgr,Data!$BK$3)</f>
        <v>0</v>
      </c>
      <c r="QI44">
        <f>Z44*QH44</f>
        <v>0</v>
      </c>
      <c r="QJ44">
        <f>$AM44*VLOOKUP($R44,Afgr,Data!$BL$3)+$BR44*VLOOKUP($T44,Efgr,Data!$AP$53)</f>
        <v>3000</v>
      </c>
      <c r="QK44">
        <f>QJ44*Z44</f>
        <v>3330.0000000000005</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0</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0</v>
      </c>
      <c r="RO44">
        <v>2</v>
      </c>
      <c r="RP44">
        <f>(FF44)*RO44*0.01</f>
        <v>1.04</v>
      </c>
      <c r="RQ44">
        <v>7</v>
      </c>
      <c r="RR44">
        <f>CE44*RQ44*0.01</f>
        <v>0</v>
      </c>
      <c r="RS44">
        <v>7</v>
      </c>
      <c r="RT44">
        <f>(Regn2!CF44+Regn2!CG44)*RS44*0.01</f>
        <v>0</v>
      </c>
      <c r="RW44">
        <f>VLOOKUP(R44,Afgr,Data!$EE$3)</f>
        <v>0</v>
      </c>
      <c r="RX44" s="3">
        <f>RP44+RR44+RT44+RV44+RW44</f>
        <v>1.04</v>
      </c>
    </row>
    <row r="46" spans="1:492" x14ac:dyDescent="0.25">
      <c r="A46" s="214" t="str">
        <f>Nbal!B46</f>
        <v>20-0</v>
      </c>
      <c r="B46">
        <v>11</v>
      </c>
      <c r="C46">
        <v>1</v>
      </c>
      <c r="D46">
        <f>IF(C46=1,VLOOKUP(B46,Jordtype,Data!$K$112),VLOOKUP(B46,Jordtype,Data!$L$112))</f>
        <v>7</v>
      </c>
      <c r="E46">
        <f>IF(C46=1,VLOOKUP(B46,Jordtype,Data!$M$112),VLOOKUP(B46,Jordtype,Data!$N$112))</f>
        <v>12</v>
      </c>
      <c r="F46">
        <f>IF(OR(B46=1,B46=3),0,IF(OR(B46=2,B46=4),1,IF(OR(B46=5,B46=6),2,3)))</f>
        <v>3</v>
      </c>
      <c r="G46">
        <f>IF(C46=1,VLOOKUP(B46,Jordtype,Data!$Q$112),VLOOKUP(B46,Jordtype,Data!$R$112))</f>
        <v>23</v>
      </c>
      <c r="H46">
        <f>IF(C46=1,VLOOKUP(B46,Jordtype,Data!$O$112),VLOOKUP(B46,Jordtype,Data!$P$112))</f>
        <v>17</v>
      </c>
      <c r="I46">
        <f>IF(B46&lt;5,0,1)</f>
        <v>1</v>
      </c>
      <c r="J46">
        <f>IF(B46&lt;5,PlojJB,1)</f>
        <v>1</v>
      </c>
      <c r="K46">
        <f>IF(B46&lt;5,SaaJB,1)</f>
        <v>1</v>
      </c>
      <c r="L46">
        <f>IF(C46=1,VLOOKUP(B46,Jordtype,Data!$S$112),VLOOKUP(B46,Jordtype,Data!$T$112))</f>
        <v>6</v>
      </c>
      <c r="M46">
        <f>IF(C46=1,VLOOKUP(B46,Jordtype,Data!$U$112),VLOOKUP(B46,Jordtype,Data!$V$112))</f>
        <v>11</v>
      </c>
      <c r="O46">
        <v>35</v>
      </c>
      <c r="P46">
        <v>1</v>
      </c>
      <c r="Q46" t="b">
        <v>0</v>
      </c>
      <c r="R46">
        <v>40</v>
      </c>
      <c r="S46">
        <v>1</v>
      </c>
      <c r="T46">
        <v>1</v>
      </c>
      <c r="U46">
        <v>1</v>
      </c>
      <c r="V46">
        <v>1</v>
      </c>
      <c r="X46">
        <v>35</v>
      </c>
      <c r="Z46">
        <f>Nbal!AG46</f>
        <v>3.21</v>
      </c>
      <c r="AA46">
        <v>1</v>
      </c>
      <c r="AB46">
        <f>VLOOKUP($R46,Afgr,G46)</f>
        <v>103</v>
      </c>
      <c r="AC46">
        <f>VLOOKUP($O46,Afgr,Data!$AI$3)*VLOOKUP(R46,Afgr,Data!$AJ$3)</f>
        <v>0</v>
      </c>
      <c r="AD46">
        <f>IF($Q46,0,VLOOKUP($P46,Efgr,(Data!$W$53+$V$6-1)))</f>
        <v>0</v>
      </c>
      <c r="AE46">
        <f>AB46-AC46-AD46</f>
        <v>103</v>
      </c>
      <c r="AF46">
        <f>AE46*Z46</f>
        <v>330.63</v>
      </c>
      <c r="AH46">
        <f>VLOOKUP(R46,Afgr,D46)</f>
        <v>44</v>
      </c>
      <c r="AI46">
        <f>VLOOKUP(O46,Afgr,Data!$AL$3)*VLOOKUP(R46,Afgr,E46)</f>
        <v>0</v>
      </c>
      <c r="AJ46">
        <f>VLOOKUP(P46,Efgr,(Data!$Y$53+I46))</f>
        <v>0</v>
      </c>
      <c r="AK46">
        <f>AH46+AI46+AJ46</f>
        <v>44</v>
      </c>
      <c r="AL46">
        <f>AH46+AI46+AJ46</f>
        <v>44</v>
      </c>
      <c r="AM46" s="3">
        <f>IF(Nbal!CK46&lt;&gt;"",Nbal!CK46,AL46)</f>
        <v>44</v>
      </c>
      <c r="AN46">
        <f>AM46*Z46</f>
        <v>141.24</v>
      </c>
      <c r="AO46" t="str">
        <f>VLOOKUP(R46,Afgr,3)</f>
        <v>hkg</v>
      </c>
      <c r="AP46">
        <f>IF(AO46="FE",VLOOKUP($R46,Afgr,Data!$AV$3),0)</f>
        <v>0</v>
      </c>
      <c r="AR46">
        <f>VLOOKUP(R46,Afgr,4)</f>
        <v>145</v>
      </c>
      <c r="AS46" s="3">
        <f>IF(Nbal!CW46&lt;&gt;"",Nbal!CW46,AR46)</f>
        <v>145</v>
      </c>
      <c r="AT46" s="3">
        <f>AM46*AS46</f>
        <v>6380</v>
      </c>
      <c r="AU46" s="3">
        <f>AN46*AS46</f>
        <v>20479.800000000003</v>
      </c>
      <c r="AW46">
        <f>VLOOKUP(R46,Afgr,Data!$AN$3)</f>
        <v>0</v>
      </c>
      <c r="AX46" s="3">
        <f>IF(Nbal!DC46&lt;&gt;"",Nbal!DC46,AW46)</f>
        <v>0</v>
      </c>
      <c r="AY46" s="3">
        <f>AX46*Z46</f>
        <v>0</v>
      </c>
      <c r="BA46">
        <f>VLOOKUP(R46,Afgr,H46)</f>
        <v>2500</v>
      </c>
      <c r="BB46">
        <f>IF(ISERROR(BA46*AM46/AK46),0,(BA46*AM46/AK46))</f>
        <v>2500</v>
      </c>
      <c r="BC46" s="3">
        <f>IF(Nbal!DI46&lt;&gt;"",Nbal!DI46,BB46)</f>
        <v>2500</v>
      </c>
      <c r="BD46">
        <f>BC46*Z46</f>
        <v>8025</v>
      </c>
      <c r="BG46">
        <f>IF($S46=1,BC46,0)</f>
        <v>2500</v>
      </c>
      <c r="BH46">
        <f>IF($S46=1,BD46,0)</f>
        <v>8025</v>
      </c>
      <c r="BI46">
        <f>VLOOKUP(R46,Afgr,Data!$AM$3)</f>
        <v>0.5</v>
      </c>
      <c r="BJ46">
        <f>IF(Nbal!DR46&lt;&gt;"",Nbal!DR46,BI46)</f>
        <v>0.5</v>
      </c>
      <c r="BK46">
        <f>BG46*BJ46</f>
        <v>1250</v>
      </c>
      <c r="BL46">
        <f>BH46*BJ46</f>
        <v>4012.5</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27</v>
      </c>
      <c r="CB46" s="2">
        <f>Nbal!DZ46</f>
        <v>0</v>
      </c>
      <c r="CC46" s="211">
        <f>Nbal!AT46+Nbal!DZ46</f>
        <v>27</v>
      </c>
      <c r="CD46" s="211">
        <f>Nbal!AX46</f>
        <v>0</v>
      </c>
      <c r="CE46">
        <f>Nbal!BH46</f>
        <v>0</v>
      </c>
      <c r="CF46" s="211">
        <f>Nbal!BM46</f>
        <v>87</v>
      </c>
      <c r="CG46" s="2">
        <f>Nbal!EI46</f>
        <v>0</v>
      </c>
      <c r="CH46" s="211">
        <f>Nbal!BM46+Nbal!EI46</f>
        <v>87</v>
      </c>
      <c r="CI46" s="211">
        <f>Nbal!BW46</f>
        <v>0</v>
      </c>
      <c r="CJ46" s="211">
        <f>Nbal!BH46*Nbal!BJ46*0.01</f>
        <v>0</v>
      </c>
      <c r="CK46" s="211">
        <f>(Nbal!BM46*Nbal!BP46*0.01)</f>
        <v>63.945</v>
      </c>
      <c r="CL46" s="211">
        <f>(Nbal!EI46*Nbal!EL46*0.01)</f>
        <v>0</v>
      </c>
      <c r="CM46" s="211">
        <f>(Nbal!BM46*Nbal!BP46*0.01)+(Nbal!EI46*Nbal!EL46*0.01)</f>
        <v>63.945</v>
      </c>
      <c r="CN46" s="211">
        <f>Nbal!BW46*Nbal!BY46*0.01</f>
        <v>0</v>
      </c>
      <c r="CO46">
        <f>Nbal!BT46+Nbal!ER46</f>
        <v>0</v>
      </c>
      <c r="CQ46">
        <f>Nbal!BA46</f>
        <v>0</v>
      </c>
      <c r="CR46">
        <f>Nbal!EC46</f>
        <v>0</v>
      </c>
      <c r="CS46">
        <f>(CQ46+CR46)*Z46</f>
        <v>0</v>
      </c>
      <c r="CT46">
        <f>Nbal!CB46</f>
        <v>17</v>
      </c>
      <c r="CU46">
        <f>Nbal!EV46</f>
        <v>0</v>
      </c>
      <c r="CV46">
        <f>(CT46+CU46)*Z46</f>
        <v>54.57</v>
      </c>
      <c r="CW46">
        <f>Nbal!BA46+Nbal!CB46+Nbal!EC46+Nbal!EV46</f>
        <v>17</v>
      </c>
      <c r="CY46">
        <f>Nbal!BD46</f>
        <v>0</v>
      </c>
      <c r="CZ46">
        <f>Nbal!EF46</f>
        <v>0</v>
      </c>
      <c r="DA46">
        <f>(CY46+CZ46)*Z46</f>
        <v>0</v>
      </c>
      <c r="DB46">
        <f>Nbal!CE46</f>
        <v>47</v>
      </c>
      <c r="DC46">
        <f>Nbal!EY46</f>
        <v>0</v>
      </c>
      <c r="DD46">
        <f>(DB46+DC46)*Z46</f>
        <v>150.87</v>
      </c>
      <c r="DE46">
        <f>Nbal!BD46+Nbal!CE46+Nbal!EF46+Nbal!EY46</f>
        <v>47</v>
      </c>
      <c r="DG46">
        <f>VLOOKUP($R46,Afgr,Data!$AW$3)</f>
        <v>11.1875</v>
      </c>
      <c r="DH46">
        <f>IF($AO46="FE",$AM46*$AP46*$DG46*0.01,$AM46*100*$DM46*0.01*$DG46*0.01)</f>
        <v>418.41250000000002</v>
      </c>
      <c r="DI46">
        <f>IF(VLOOKUP(R46,Afgr,Data!$BO$3)=1,DH46,0)*Z46</f>
        <v>1343.1041250000001</v>
      </c>
      <c r="DJ46" s="12">
        <f>(BZ46+CC46+CJ46-AE46)*VLOOKUP($R46,Afgr,Data!$AX$3)</f>
        <v>-1.52</v>
      </c>
      <c r="DK46">
        <f>DG46+DJ46</f>
        <v>9.6675000000000004</v>
      </c>
      <c r="DL46">
        <f>IF(Nbal!CQ46&lt;&gt;"",Nbal!CQ46,DK46)</f>
        <v>9.6675000000000004</v>
      </c>
      <c r="DM46">
        <f>VLOOKUP(R46,Afgr,Data!$AT$3)</f>
        <v>85</v>
      </c>
      <c r="DN46">
        <f>IF($AO46="FE",$AM46*$AP46*$DL46*0.01,$AM46*100*$DM46*0.01*DL46*0.01)</f>
        <v>361.56450000000007</v>
      </c>
      <c r="DO46">
        <f>IF(VLOOKUP(R46,Afgr,Data!$BO$3)=1,DN46,0)*Z46</f>
        <v>1160.6220450000003</v>
      </c>
      <c r="DP46">
        <f>IF(ISERROR(DN46/VLOOKUP(R46,Afgr,Data!$AY$3)),0,DN46/VLOOKUP(R46,Afgr,Data!$AY$3))</f>
        <v>57.850320000000011</v>
      </c>
      <c r="DQ46">
        <f>DP46*Z46</f>
        <v>185.69952720000003</v>
      </c>
      <c r="DS46">
        <f>IF($AO46="FE",$AM46*$AP46*VLOOKUP($R46,Afgr,Data!$BC$3)*0.001,$AM46*100*$DM46*0.01*VLOOKUP($R46,Afgr,Data!$BC$3)*0.001)</f>
        <v>14.212</v>
      </c>
      <c r="DT46">
        <f>DS46*Z46</f>
        <v>45.620519999999999</v>
      </c>
      <c r="DV46">
        <f>IF($AO46="FE",$AM46*$AP46*VLOOKUP($R46,Afgr,Data!$BF$3)*0.001,$AM46*100*$DM46*0.01*VLOOKUP($R46,Afgr,Data!$BF$3)*0.001)</f>
        <v>17.577999999999999</v>
      </c>
      <c r="DW46">
        <f>DV46*Z46</f>
        <v>56.425379999999997</v>
      </c>
      <c r="DY46">
        <f>IF(ISERROR(VLOOKUP(R46,Afgr,Data!$AZ$3)*DL46/DG46),0,VLOOKUP(R46,Afgr,Data!$AZ$3)*DL46/DG46)</f>
        <v>3.456536312849162</v>
      </c>
      <c r="DZ46">
        <f>VLOOKUP(R46,Afgr,Data!$AU$3)</f>
        <v>85</v>
      </c>
      <c r="EA46">
        <f>IF($S46=1,$BC46*$DZ46*0.01*DY46*0.01,0)</f>
        <v>73.451396648044692</v>
      </c>
      <c r="EB46">
        <f>EA46/6.25</f>
        <v>11.752223463687152</v>
      </c>
      <c r="EC46">
        <f>EB46*Z46</f>
        <v>37.724637318435754</v>
      </c>
      <c r="EE46">
        <f>IF($S46=1,$BC46*$DZ46*0.01*VLOOKUP($R46,Afgr,Data!$BD$3)*0.001,0)</f>
        <v>1.9125000000000001</v>
      </c>
      <c r="EF46">
        <f>EE46*Z46</f>
        <v>6.1391249999999999</v>
      </c>
      <c r="EH46">
        <f>IF($S46=1,$BC46*$DZ46*0.01*VLOOKUP($R46,Afgr,Data!$BG$3)*0.001,0)</f>
        <v>25.5</v>
      </c>
      <c r="EI46">
        <f>EH46*Z46</f>
        <v>81.855000000000004</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90.944999999999993</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27</v>
      </c>
      <c r="FG46" s="211">
        <f>FF46*Z46</f>
        <v>86.67</v>
      </c>
      <c r="FH46" s="211">
        <f>CE46+CH46+CO46</f>
        <v>87</v>
      </c>
      <c r="FI46" s="211">
        <f>FH46*Z46</f>
        <v>279.27</v>
      </c>
      <c r="FJ46">
        <f>VLOOKUP($R46,Afgr,Data!$DK$3)*VLOOKUP($R46,Afgr,Data!$AT$3)*0.01*VLOOKUP($R46,Afgr,Data!$AW$3)*0.01/6.25</f>
        <v>2.4344000000000001</v>
      </c>
      <c r="FK46">
        <f>FJ46*Z46</f>
        <v>7.8144240000000007</v>
      </c>
      <c r="FL46" s="4">
        <f>IF(R46&gt;1,Deposition,0)</f>
        <v>15</v>
      </c>
      <c r="FM46" s="4">
        <f>FL46*Z46</f>
        <v>48.15</v>
      </c>
      <c r="FN46">
        <f>FC46</f>
        <v>0</v>
      </c>
      <c r="FO46">
        <f>FN46*Z46</f>
        <v>0</v>
      </c>
      <c r="FP46" s="211">
        <f>SUM(FF46,FH46,FJ46,FL46,FN46)</f>
        <v>131.43439999999998</v>
      </c>
      <c r="FQ46">
        <f>DP46+EB46+EL46</f>
        <v>69.602543463687169</v>
      </c>
      <c r="FR46" s="3">
        <f>FP46-FQ46</f>
        <v>61.831856536312813</v>
      </c>
      <c r="FS46" s="19">
        <f>FP46*Z46</f>
        <v>421.90442399999995</v>
      </c>
      <c r="FT46" s="19">
        <f>FQ46*Z46</f>
        <v>223.42416451843582</v>
      </c>
      <c r="FU46" s="3">
        <f>FR46*Z46</f>
        <v>198.48025948156413</v>
      </c>
      <c r="FW46">
        <f>CW46</f>
        <v>17</v>
      </c>
      <c r="FX46">
        <f>FW46*Z46</f>
        <v>54.57</v>
      </c>
      <c r="FY46">
        <f>IX46+MB46</f>
        <v>16.124500000000001</v>
      </c>
      <c r="FZ46">
        <f>FY46*Z46</f>
        <v>51.759645000000006</v>
      </c>
      <c r="GA46">
        <f>FW46-FY46</f>
        <v>0.87549999999999883</v>
      </c>
      <c r="GB46">
        <f>GA46*Z46</f>
        <v>2.8103549999999964</v>
      </c>
      <c r="GD46">
        <f>DE46</f>
        <v>47</v>
      </c>
      <c r="GE46">
        <f>GD46*Z46</f>
        <v>150.87</v>
      </c>
      <c r="GF46">
        <f>JE46+MH46</f>
        <v>43.078000000000003</v>
      </c>
      <c r="GG46">
        <f>GF46*Z46</f>
        <v>138.28038000000001</v>
      </c>
      <c r="GH46">
        <f>GD46-GF46</f>
        <v>3.921999999999997</v>
      </c>
      <c r="GI46">
        <f>GH46*Z46</f>
        <v>12.589619999999991</v>
      </c>
      <c r="GK46">
        <f>AA46</f>
        <v>1</v>
      </c>
      <c r="GL46" s="211">
        <f>FF46+FH46+FN46</f>
        <v>114</v>
      </c>
      <c r="GM46" s="211">
        <f>IF(R46=1,"",IF(GK46=1,GL46,""))</f>
        <v>114</v>
      </c>
      <c r="GN46" s="211" t="str">
        <f>IF(R46=1,"",IF(GK46=2,GL46,""))</f>
        <v/>
      </c>
      <c r="GO46" s="211" t="str">
        <f>IF(R46=1,"",IF(GK46=3,GL46,""))</f>
        <v/>
      </c>
      <c r="GP46" s="211" t="str">
        <f>IF(R46=1,"",IF(GK46=4,GL46,""))</f>
        <v/>
      </c>
      <c r="GQ46" s="149">
        <f>IF(OR(R46=1,VLOOKUP(R46,Afgr,Data!$BV$3)=1,VLOOKUP(R46,Afgr,Data!$BW$3)=1),0,IF(GK46=1,Nniveau1,IF(GK46=2,Nniveau2,IF(GK46=3,Nniveau3,IF(GK46=4,Nniveau4,GL46)))))</f>
        <v>197.65542292344122</v>
      </c>
      <c r="GR46" s="241">
        <v>0.32550000000000001</v>
      </c>
      <c r="GS46" s="6">
        <v>0</v>
      </c>
      <c r="GT46" s="149">
        <f>CC46+CM46</f>
        <v>90.944999999999993</v>
      </c>
      <c r="GU46" s="6">
        <f>$FN46</f>
        <v>0</v>
      </c>
      <c r="GV46" s="241">
        <v>0.25280000000000002</v>
      </c>
      <c r="GW46">
        <f>CO46</f>
        <v>0</v>
      </c>
      <c r="GX46" s="241">
        <v>0.376</v>
      </c>
      <c r="GY46" s="149">
        <f>CD46+CN46</f>
        <v>0</v>
      </c>
      <c r="GZ46" s="241">
        <f>IF(B46&gt;3,0.3539,1.0749)</f>
        <v>0.35389999999999999</v>
      </c>
      <c r="HA46" s="11">
        <f>$FQ46</f>
        <v>69.602543463687169</v>
      </c>
      <c r="HB46" s="241">
        <v>0.19359999999999999</v>
      </c>
      <c r="HC46" s="241">
        <f>VLOOKUP($R46,Afgr,Data!$DM$3)</f>
        <v>1</v>
      </c>
      <c r="HD46" s="24">
        <f>IF($HC46&gt;1,0,(VLOOKUP($X46,Afgr,Data!$DP$3)+IF(VLOOKUP($X46,Afgr,Data!$DP$3)=0,VLOOKUP($T46,Efgr,Data!$BI$53,0))))+IF(AND($HC46=7,VLOOKUP($X46,Afgr,Data!$DQ$3)=-2),-2,0)+IF(AND($HC46=6,VLOOKUP($T46,Efgr,Data!$BI$53)=2),8,0)</f>
        <v>1</v>
      </c>
      <c r="HE46" s="6">
        <f>VLOOKUP(SUM(HC46:HD46),Nlesafgr,3)</f>
        <v>-7.6</v>
      </c>
      <c r="HF46" s="7">
        <f>VLOOKUP($O46,Afgr,Data!$DN$3)</f>
        <v>1</v>
      </c>
      <c r="HG46" s="24">
        <f>IF(HF46&gt;1,0,VLOOKUP($R46,Afgr,Data!$DO$3)+IF(VLOOKUP($R46,Afgr,Data!$DO$3)=1,0,VLOOKUP($P46,Efgr,Data!$BJ$53)))</f>
        <v>0</v>
      </c>
      <c r="HH46" s="6">
        <f>VLOOKUP(SUM(HF46:HG46),Nlesforfrugt,3)</f>
        <v>0</v>
      </c>
      <c r="HI46" s="241">
        <f>GR46*GQ46+GV46*(GT46+GU46)+GX46*GW46+GZ46*GY46-HB46*HA46+HE46+HH46</f>
        <v>66.252683747010281</v>
      </c>
      <c r="HJ46" s="241">
        <f>Nlesafskaering</f>
        <v>59.6</v>
      </c>
      <c r="HK46" s="241">
        <f>Teknologi1</f>
        <v>2455</v>
      </c>
      <c r="HL46" s="6">
        <v>2001</v>
      </c>
      <c r="HM46" s="241">
        <f>Teknologi2</f>
        <v>1962.2</v>
      </c>
      <c r="HN46" s="241">
        <f>Tandel</f>
        <v>0.54659999999999997</v>
      </c>
      <c r="HO46" s="241">
        <f>IF(OR(HI46&gt;0,HI46=0),HJ46+HK46/(HL46-HM46),HJ46+HK46/(HL46-HM46)+HN46*HI46)</f>
        <v>122.87319587628873</v>
      </c>
      <c r="HP46" s="241">
        <f>IF(HI46&gt;0,HI46,0.001)</f>
        <v>66.252683747010281</v>
      </c>
      <c r="HQ46" s="241">
        <v>1.5020000000000001E-3</v>
      </c>
      <c r="HR46" s="24">
        <f>IF(R46=1,0,VLOOKUP(PostnrNbal,AfstromData,VLOOKUP($R46,Afgr,Data!$DL$3)+IF(Jordtype1&lt;7,Jordtype1,6),FALSE)-VLOOKUP(T46,Efgr,Data!$AA$53))</f>
        <v>304.76666666666603</v>
      </c>
      <c r="HS46" s="24">
        <f>IF(Nbal!GA46&lt;&gt;"",Nbal!GA46,Regn2!HR46)</f>
        <v>304.76666666666603</v>
      </c>
      <c r="HT46" s="241">
        <v>5.5400000000000002E-4</v>
      </c>
      <c r="HU46" s="24">
        <f>IF(R46=1,0,VLOOKUP(PostnrNbal,AfstromData,VLOOKUP($O46,Afgr,Data!$DL$3)+IF(B46&lt;7,B46,6),FALSE)-VLOOKUP(P46,Efgr,Data!$AA$53))</f>
        <v>269.74999999999898</v>
      </c>
      <c r="HV46" s="24">
        <f>IF(Nbal!FU46&lt;&gt;"",Nbal!FU46,Regn2!HU46)</f>
        <v>269.74999999999898</v>
      </c>
      <c r="HW46" s="241">
        <v>0.10639999999999999</v>
      </c>
      <c r="HX46" s="6">
        <f>VLOOKUP(B46,Jordtype,Data!$W$112)</f>
        <v>26</v>
      </c>
      <c r="HY46" s="241">
        <v>3.2500000000000001E-2</v>
      </c>
      <c r="HZ46" s="6">
        <f>VLOOKUP(B46,Jordtype,Data!$X$112)</f>
        <v>5</v>
      </c>
      <c r="IA46" s="241">
        <v>1.2453000000000001</v>
      </c>
      <c r="IB46" s="241">
        <f>IF(VLOOKUP(T46,Efgr,Data!$AO$53)=1,MlafgrNUdvask,0)</f>
        <v>0</v>
      </c>
      <c r="IC46" s="20">
        <f>IF(ISERROR((HO46+POWER(HP46,1.2))*(1-EXP(-HQ46*HS46))*EXP(-HT46*HV46)*EXP(-HW46*HX46)*EXP(-HY46*HZ46)*IA46),0,(HO46+POWER(HP46,1.2))*(1-EXP(-HQ46*HS46))*EXP(-HT46*HV46)*EXP(-HW46*HX46)*EXP(-HY46*HZ46)*IA46+IB46)</f>
        <v>5.8145458536090207</v>
      </c>
      <c r="ID46">
        <f>IC46*Z46</f>
        <v>18.664692190084956</v>
      </c>
      <c r="IE46">
        <f>IF(Nbal!GF46&lt;&gt;"",Nbal!GF46,RetentionNbal)</f>
        <v>65</v>
      </c>
      <c r="IF46">
        <f>IC46*(100-IE46)*0.01</f>
        <v>2.0350910487631571</v>
      </c>
      <c r="IG46">
        <f>IF46*Z46</f>
        <v>6.5326422665297343</v>
      </c>
      <c r="IH46" s="2">
        <f>HS46*10000</f>
        <v>3047666.6666666605</v>
      </c>
      <c r="II46" s="2">
        <f>IH46*Z46</f>
        <v>9783009.9999999795</v>
      </c>
      <c r="IJ46">
        <f>IF(ISERROR(IC46*1000*1000/IH46),0,IC46*1000*1000/IH46)</f>
        <v>1.9078680477772174</v>
      </c>
      <c r="IL46">
        <f>AT46+AX46+BK46+BU46</f>
        <v>7630</v>
      </c>
      <c r="IO46">
        <f>VLOOKUP(R46,Afgr,Data!$AP$3)*UdsaedJust</f>
        <v>488</v>
      </c>
      <c r="IP46" s="3">
        <f>IF(Nbal!GN46&lt;&gt;"",Nbal!GN46,IO46)</f>
        <v>488</v>
      </c>
      <c r="IQ46" s="3">
        <f>IP46*Z46</f>
        <v>1566.48</v>
      </c>
      <c r="IS46" s="3">
        <f>IF(HdgVaerdiNbal=1,(BZ46+CA46)*Npris,(BZ46+CA46+CJ46+CK46)*Npris)</f>
        <v>228.14999999999998</v>
      </c>
      <c r="IT46" s="3">
        <f>IS46*Z46</f>
        <v>732.36149999999986</v>
      </c>
      <c r="IV46">
        <f>VLOOKUP($R46,Afgr,Data!$BA$3)</f>
        <v>0</v>
      </c>
      <c r="IW46">
        <f>VLOOKUP($R46,Afgr,Data!$BB$3)</f>
        <v>2.5</v>
      </c>
      <c r="IX46">
        <f>$DS46+$EE46</f>
        <v>16.124500000000001</v>
      </c>
      <c r="IY46">
        <f>CT46</f>
        <v>17</v>
      </c>
      <c r="IZ46">
        <f>CQ46</f>
        <v>0</v>
      </c>
      <c r="JA46" s="3">
        <f>IF(HdgVaerdiNbal=1,(IZ46)*Ppris,(IY46+IZ46)*Ppris)</f>
        <v>0</v>
      </c>
      <c r="JB46" s="3">
        <f>JA46*Z46</f>
        <v>0</v>
      </c>
      <c r="JD46">
        <f>IF(AND(R46&gt;1,OR(Jordtype1=1,Jordtype1=3,Markvand1=2)),Kudvask,0)</f>
        <v>0</v>
      </c>
      <c r="JE46">
        <f>$DV46+$EH46</f>
        <v>43.078000000000003</v>
      </c>
      <c r="JF46">
        <f>DB46</f>
        <v>47</v>
      </c>
      <c r="JG46">
        <f>CY46</f>
        <v>0</v>
      </c>
      <c r="JH46" s="3">
        <f>IF(HdgVaerdiNbal=1,JG46*Kpris,(JF46+JG46)*Kpris)</f>
        <v>0</v>
      </c>
      <c r="JI46" s="3">
        <f>JH46*Z46</f>
        <v>0</v>
      </c>
      <c r="JK46">
        <f>IS46+JA46+JH46</f>
        <v>228.14999999999998</v>
      </c>
      <c r="JL46" s="3">
        <f>IF(Nbal!GT46&lt;&gt;"",Nbal!GT46,$JK46)</f>
        <v>228.14999999999998</v>
      </c>
      <c r="JM46" s="3">
        <f>JL46*Z46</f>
        <v>732.36149999999986</v>
      </c>
      <c r="JO46">
        <f>VLOOKUP(R46,Afgr,Data!$AQ$3)*PlantevJust</f>
        <v>283</v>
      </c>
      <c r="JP46" s="3">
        <f>IF(Nbal!GZ46&lt;&gt;"",Nbal!GZ46,JO46)</f>
        <v>283</v>
      </c>
      <c r="JQ46" s="3">
        <f>JP46*Z46</f>
        <v>908.43</v>
      </c>
      <c r="JS46">
        <f>VLOOKUP(R46,Afgr,Data!$AR$3)+AM46*VLOOKUP(R46,Afgr,Data!$BH$3)</f>
        <v>0</v>
      </c>
      <c r="JT46" s="3">
        <f>IF(Nbal!HF46&lt;&gt;"",Nbal!HF46,JS46)</f>
        <v>0</v>
      </c>
      <c r="JU46">
        <f>JT46*Z46</f>
        <v>0</v>
      </c>
      <c r="JW46">
        <f>IP46+JL46+JP46+JT46</f>
        <v>999.15</v>
      </c>
      <c r="JY46">
        <f>IF(VLOOKUP(R46,Afgr,Data!$BY$3)&gt;0,Data!$K$259*J46,0)</f>
        <v>600</v>
      </c>
      <c r="JZ46">
        <f>IF(VLOOKUP(R46,Afgr,Data!$BZ$3)&gt;0,Data!$K$260*J46,0)</f>
        <v>0</v>
      </c>
      <c r="KA46">
        <f>(JY46+JZ46)*MaskJust</f>
        <v>600</v>
      </c>
      <c r="KB46" s="3">
        <f>IF(Nbal!HL46&lt;&gt;"",Nbal!HL46,KA46)</f>
        <v>600</v>
      </c>
      <c r="KC46" s="3">
        <f>KB46*Z46</f>
        <v>1926</v>
      </c>
      <c r="KE46">
        <f>IF(VLOOKUP(R46,Afgr,Data!$CA$3)&gt;0,VLOOKUP(R46,Afgr,Data!$CA$3)*Data!$K$261*K46,0)</f>
        <v>0</v>
      </c>
      <c r="KF46">
        <f>IF(VLOOKUP(R46,Afgr,Data!$CC$3)&gt;0,Data!$K$262*K46,0)</f>
        <v>350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350</v>
      </c>
      <c r="KM46" s="3">
        <f>IF(Nbal!HR46&lt;&gt;"",Nbal!HR46,KL46)</f>
        <v>350</v>
      </c>
      <c r="KN46" s="3">
        <f>KM46*Z46</f>
        <v>1123.5</v>
      </c>
      <c r="KP46">
        <f>IF(VLOOKUP(R46,Afgr,Data!$CJ$3)&gt;0,VLOOKUP(R46,Afgr,Data!$CJ$3)*Data!$K$268*K46,0)*MaskJust</f>
        <v>140</v>
      </c>
      <c r="KQ46" s="3">
        <f>IF(Nbal!HX46&lt;&gt;"",Nbal!HX46,KP46)</f>
        <v>140</v>
      </c>
      <c r="KR46" s="3">
        <f>KQ46*Z46</f>
        <v>449.4</v>
      </c>
      <c r="KT46">
        <f>IF(VLOOKUP(R46,Afgr,Data!$CI$3)&gt;0,VLOOKUP(R46,Afgr,Data!$CI$3)*Data!$K$269,0)*MaskJust</f>
        <v>300</v>
      </c>
      <c r="KU46" s="3">
        <f>IF(Nbal!ID46&lt;&gt;"",Nbal!ID46,KT46)</f>
        <v>300</v>
      </c>
      <c r="KV46" s="3">
        <f>KU46*Z46</f>
        <v>963</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682.94117647058818</v>
      </c>
      <c r="LE46">
        <f>IF(VLOOKUP($R46,Afgr,Data!$CK$3)&gt;0,IF(AND($S46=2,$BA46&gt;0),Data!$K$271,0),0)</f>
        <v>0</v>
      </c>
      <c r="LF46">
        <f>IF(VLOOKUP($R46,Afgr,Data!$CK$3)&gt;0,(AM46/VLOOKUP($R46,Afgr,Data!$CK$3))*VLOOKUP($R46,Afgr,Data!$CO$3)*VLOOKUP($R46,Afgr,Data!$CN$3),0)</f>
        <v>168.23529411764707</v>
      </c>
      <c r="LG46">
        <f>(LD46+LE46+LF46)*MaskJust</f>
        <v>851.17647058823525</v>
      </c>
      <c r="LH46" s="3">
        <f>IF(Nbal!IV46&lt;&gt;"",Nbal!IV46,LG46)</f>
        <v>851.17647058823525</v>
      </c>
      <c r="LI46" s="3">
        <f>LH46*Z46</f>
        <v>2732.276470588235</v>
      </c>
      <c r="LJ46" s="3"/>
      <c r="LK46">
        <f>IF(AND($S46=1,VLOOKUP($R46,Afgr,Data!$CP$3)&gt;0),((1+$BC46/VLOOKUP($R46,Afgr,Data!$CP$3))/2)*VLOOKUP($R46,Afgr,Data!$CQ$3),0)</f>
        <v>481.25000000000006</v>
      </c>
      <c r="LL46">
        <f>IF(AND($S46=1,VLOOKUP($R46,Afgr,Data!$CP$3)&gt;0),($BC46/VLOOKUP($R46,Afgr,Data!$CP$3))*VLOOKUP($R46,Afgr,Data!$CR$3),0)</f>
        <v>166.66666666666669</v>
      </c>
      <c r="LM46">
        <f>(LK46+LL46)*MaskJust</f>
        <v>647.91666666666674</v>
      </c>
      <c r="LN46" s="3">
        <f>IF(Nbal!JB46&lt;&gt;"",Nbal!JB46,LM46)</f>
        <v>647.91666666666674</v>
      </c>
      <c r="LO46" s="3">
        <f>LN46*Z46</f>
        <v>2079.8125</v>
      </c>
      <c r="LQ46">
        <f>$AM46*VLOOKUP($R46,Afgr,Data!$CS$3)*IF($V46=1,VLOOKUP($R46,Afgr,Data!$CT$3),IF($V46=2,VLOOKUP($R46,Afgr,Data!$CU$3),0))</f>
        <v>406.56000000000006</v>
      </c>
      <c r="LR46" s="3">
        <f>IF(Nbal!JK46&lt;&gt;"",Nbal!JK46,LQ46)</f>
        <v>406.56000000000006</v>
      </c>
      <c r="LS46" s="3">
        <f>LR46*Z46</f>
        <v>1305.0576000000001</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7630</v>
      </c>
      <c r="OE46">
        <f>JW46+MZ46</f>
        <v>999.15</v>
      </c>
      <c r="OF46">
        <f>OD46-OE46</f>
        <v>6630.85</v>
      </c>
      <c r="OG46">
        <f>OF46*Z46</f>
        <v>21285.0285</v>
      </c>
      <c r="OJ46">
        <f>VLOOKUP($O46,Afgr,Data!$BP$3)+VLOOKUP($P46,Efgr,Data!$AM$53)</f>
        <v>1</v>
      </c>
      <c r="OK46" s="3">
        <f>OJ46*Z46</f>
        <v>3.21</v>
      </c>
      <c r="OL46">
        <f>VLOOKUP($R46,Afgr,Data!$BP$3)+VLOOKUP($T46,Efgr,Data!$AM$53)</f>
        <v>1</v>
      </c>
      <c r="OM46" s="3">
        <f>OL46*Z46</f>
        <v>3.21</v>
      </c>
      <c r="OO46">
        <f>VLOOKUP($P46,Efgr,Data!$AN$53)</f>
        <v>0</v>
      </c>
      <c r="OP46">
        <f>VLOOKUP($O46,Afgr,Data!$BQ$3)</f>
        <v>1</v>
      </c>
      <c r="OQ46">
        <f>VLOOKUP($R46,Afgr,Data!$BR$3)</f>
        <v>1</v>
      </c>
      <c r="OR46">
        <f>OO46*OP46*OQ46</f>
        <v>0</v>
      </c>
      <c r="OS46" s="3">
        <f>OR46*Z46</f>
        <v>0</v>
      </c>
      <c r="OT46" s="3">
        <f>IF(Q46,1,0)*OS46</f>
        <v>0</v>
      </c>
      <c r="OV46">
        <f>VLOOKUP($T46,Efgr,Data!$AN$53)</f>
        <v>0</v>
      </c>
      <c r="OW46">
        <f>VLOOKUP($R46,Afgr,Data!$BQ$3)</f>
        <v>1</v>
      </c>
      <c r="OX46">
        <f>VLOOKUP($X46,Afgr,Data!$BR$3)</f>
        <v>0</v>
      </c>
      <c r="OY46">
        <f>OV46*OW46*OX46</f>
        <v>0</v>
      </c>
      <c r="OZ46" s="3">
        <f>OY46*Z46</f>
        <v>0</v>
      </c>
      <c r="PB46">
        <f>VLOOKUP($T46,Efgr,Data!$AO$53)</f>
        <v>0</v>
      </c>
      <c r="PC46">
        <f>VLOOKUP($O46,Afgr,Data!$BQ$3)</f>
        <v>1</v>
      </c>
      <c r="PD46">
        <f>VLOOKUP($R46,Afgr,Data!$BS$3)</f>
        <v>0</v>
      </c>
      <c r="PE46" s="3">
        <f>PB46*PC46*PD46*$Z46</f>
        <v>0</v>
      </c>
      <c r="PG46">
        <f>VLOOKUP($T46,Efgr,Data!$AO$53)</f>
        <v>0</v>
      </c>
      <c r="PH46">
        <f>VLOOKUP($R46,Afgr,Data!$BQ$3)</f>
        <v>1</v>
      </c>
      <c r="PI46">
        <f>VLOOKUP($X46,Afgr,Data!$BS$3)</f>
        <v>1</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1</v>
      </c>
      <c r="PU46" s="3">
        <f>PT46*Z46</f>
        <v>3.21</v>
      </c>
      <c r="PV46">
        <f>VLOOKUP($R46,Afgr,Data!$BT$3)</f>
        <v>1</v>
      </c>
      <c r="PW46" s="3">
        <f>PV46*Z46</f>
        <v>3.21</v>
      </c>
      <c r="PY46">
        <f>VLOOKUP($R46,Afgr,Data!$BV$3)</f>
        <v>0</v>
      </c>
      <c r="PZ46">
        <f>PY46*Z46</f>
        <v>0</v>
      </c>
      <c r="QB46">
        <f>VLOOKUP($R46,Afgr,Data!$BW$3)</f>
        <v>0</v>
      </c>
      <c r="QC46">
        <f>QB46*Z46</f>
        <v>0</v>
      </c>
      <c r="QE46">
        <f>AM46*IF(VLOOKUP($R46,Afgr,Data!$BJ$3)&gt;0,1,0)</f>
        <v>44</v>
      </c>
      <c r="QF46">
        <f>QE46*Z46</f>
        <v>141.24</v>
      </c>
      <c r="QH46">
        <f>AM46*VLOOKUP(R46,Afgr,Data!$BK$3)</f>
        <v>4158</v>
      </c>
      <c r="QI46">
        <f>Z46*QH46</f>
        <v>13347.18</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14406.480000000001</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0</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0</v>
      </c>
      <c r="RO46">
        <v>2</v>
      </c>
      <c r="RP46">
        <f>(FF46)*RO46*0.01</f>
        <v>0.54</v>
      </c>
      <c r="RQ46">
        <v>7</v>
      </c>
      <c r="RR46">
        <f>CE46*RQ46*0.01</f>
        <v>0</v>
      </c>
      <c r="RS46">
        <v>7</v>
      </c>
      <c r="RT46">
        <f>(Regn2!CF46+Regn2!CG46)*RS46*0.01</f>
        <v>6.09</v>
      </c>
      <c r="RW46">
        <f>VLOOKUP(R46,Afgr,Data!$EE$3)</f>
        <v>5</v>
      </c>
      <c r="RX46" s="3">
        <f>RP46+RR46+RT46+RV46+RW46</f>
        <v>11.629999999999999</v>
      </c>
    </row>
    <row r="48" spans="1:492" x14ac:dyDescent="0.25">
      <c r="A48" s="214" t="str">
        <f>Nbal!B48</f>
        <v>21-0</v>
      </c>
      <c r="B48">
        <v>11</v>
      </c>
      <c r="C48">
        <v>1</v>
      </c>
      <c r="D48">
        <f>IF(C48=1,VLOOKUP(B48,Jordtype,Data!$K$112),VLOOKUP(B48,Jordtype,Data!$L$112))</f>
        <v>7</v>
      </c>
      <c r="E48">
        <f>IF(C48=1,VLOOKUP(B48,Jordtype,Data!$M$112),VLOOKUP(B48,Jordtype,Data!$N$112))</f>
        <v>12</v>
      </c>
      <c r="F48">
        <f>IF(OR(B48=1,B48=3),0,IF(OR(B48=2,B48=4),1,IF(OR(B48=5,B48=6),2,3)))</f>
        <v>3</v>
      </c>
      <c r="G48">
        <f>IF(C48=1,VLOOKUP(B48,Jordtype,Data!$Q$112),VLOOKUP(B48,Jordtype,Data!$R$112))</f>
        <v>23</v>
      </c>
      <c r="H48">
        <f>IF(C48=1,VLOOKUP(B48,Jordtype,Data!$O$112),VLOOKUP(B48,Jordtype,Data!$P$112))</f>
        <v>17</v>
      </c>
      <c r="I48">
        <f>IF(B48&lt;5,0,1)</f>
        <v>1</v>
      </c>
      <c r="J48">
        <f>IF(B48&lt;5,PlojJB,1)</f>
        <v>1</v>
      </c>
      <c r="K48">
        <f>IF(B48&lt;5,SaaJB,1)</f>
        <v>1</v>
      </c>
      <c r="L48">
        <f>IF(C48=1,VLOOKUP(B48,Jordtype,Data!$S$112),VLOOKUP(B48,Jordtype,Data!$T$112))</f>
        <v>6</v>
      </c>
      <c r="M48">
        <f>IF(C48=1,VLOOKUP(B48,Jordtype,Data!$U$112),VLOOKUP(B48,Jordtype,Data!$V$112))</f>
        <v>11</v>
      </c>
      <c r="O48">
        <v>19</v>
      </c>
      <c r="P48">
        <v>1</v>
      </c>
      <c r="Q48" t="b">
        <v>0</v>
      </c>
      <c r="R48">
        <v>19</v>
      </c>
      <c r="S48">
        <v>1</v>
      </c>
      <c r="T48">
        <v>1</v>
      </c>
      <c r="U48">
        <v>1</v>
      </c>
      <c r="V48">
        <v>1</v>
      </c>
      <c r="X48">
        <v>19</v>
      </c>
      <c r="Z48">
        <f>Nbal!AG48</f>
        <v>1.7</v>
      </c>
      <c r="AA48">
        <v>1</v>
      </c>
      <c r="AB48">
        <f>VLOOKUP($R48,Afgr,G48)</f>
        <v>321</v>
      </c>
      <c r="AC48">
        <f>VLOOKUP($O48,Afgr,Data!$AI$3)*VLOOKUP(R48,Afgr,Data!$AJ$3)</f>
        <v>0</v>
      </c>
      <c r="AD48">
        <f>IF($Q48,0,VLOOKUP($P48,Efgr,(Data!$W$53+$V$6-1)))</f>
        <v>0</v>
      </c>
      <c r="AE48">
        <f>AB48-AC48-AD48</f>
        <v>321</v>
      </c>
      <c r="AF48">
        <f>AE48*Z48</f>
        <v>545.69999999999993</v>
      </c>
      <c r="AH48">
        <f>VLOOKUP(R48,Afgr,D48)</f>
        <v>7100</v>
      </c>
      <c r="AI48">
        <f>VLOOKUP(O48,Afgr,Data!$AL$3)*VLOOKUP(R48,Afgr,E48)</f>
        <v>0</v>
      </c>
      <c r="AJ48">
        <f>VLOOKUP(P48,Efgr,(Data!$Y$53+I48))</f>
        <v>0</v>
      </c>
      <c r="AK48">
        <f>AH48+AI48+AJ48</f>
        <v>7100</v>
      </c>
      <c r="AL48">
        <f>AH48+AI48+AJ48</f>
        <v>7100</v>
      </c>
      <c r="AM48" s="3">
        <f>IF(Nbal!CK48&lt;&gt;"",Nbal!CK48,AL48)</f>
        <v>7100</v>
      </c>
      <c r="AN48">
        <f>AM48*Z48</f>
        <v>12070</v>
      </c>
      <c r="AO48" t="str">
        <f>VLOOKUP(R48,Afgr,3)</f>
        <v>FE</v>
      </c>
      <c r="AP48">
        <f>IF(AO48="FE",VLOOKUP($R48,Afgr,Data!$AV$3),0)</f>
        <v>1.24</v>
      </c>
      <c r="AR48">
        <f>VLOOKUP(R48,Afgr,4)</f>
        <v>1.2</v>
      </c>
      <c r="AS48" s="3">
        <f>IF(Nbal!CW48&lt;&gt;"",Nbal!CW48,AR48)</f>
        <v>1.2</v>
      </c>
      <c r="AT48" s="3">
        <f>AM48*AS48</f>
        <v>8520</v>
      </c>
      <c r="AU48" s="3">
        <f>AN48*AS48</f>
        <v>14484</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206</v>
      </c>
      <c r="CB48" s="2">
        <f>Nbal!DZ48</f>
        <v>0</v>
      </c>
      <c r="CC48" s="211">
        <f>Nbal!AT48+Nbal!DZ48</f>
        <v>206</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27</v>
      </c>
      <c r="CR48">
        <f>Nbal!EC48</f>
        <v>0</v>
      </c>
      <c r="CS48">
        <f>(CQ48+CR48)*Z48</f>
        <v>45.9</v>
      </c>
      <c r="CT48">
        <f>Nbal!CB48</f>
        <v>0</v>
      </c>
      <c r="CU48">
        <f>Nbal!EV48</f>
        <v>0</v>
      </c>
      <c r="CV48">
        <f>(CT48+CU48)*Z48</f>
        <v>0</v>
      </c>
      <c r="CW48">
        <f>Nbal!BA48+Nbal!CB48+Nbal!EC48+Nbal!EV48</f>
        <v>27</v>
      </c>
      <c r="CY48">
        <f>Nbal!BD48</f>
        <v>96</v>
      </c>
      <c r="CZ48">
        <f>Nbal!EF48</f>
        <v>0</v>
      </c>
      <c r="DA48">
        <f>(CY48+CZ48)*Z48</f>
        <v>163.19999999999999</v>
      </c>
      <c r="DB48">
        <f>Nbal!CE48</f>
        <v>0</v>
      </c>
      <c r="DC48">
        <f>Nbal!EY48</f>
        <v>0</v>
      </c>
      <c r="DD48">
        <f>(DB48+DC48)*Z48</f>
        <v>0</v>
      </c>
      <c r="DE48">
        <f>Nbal!BD48+Nbal!CE48+Nbal!EF48+Nbal!EY48</f>
        <v>96</v>
      </c>
      <c r="DG48">
        <f>VLOOKUP($R48,Afgr,Data!$AW$3)</f>
        <v>16.3125</v>
      </c>
      <c r="DH48">
        <f>IF($AO48="FE",$AM48*$AP48*$DG48*0.01,$AM48*100*$DM48*0.01*$DG48*0.01)</f>
        <v>1436.1524999999999</v>
      </c>
      <c r="DI48">
        <f>IF(VLOOKUP(R48,Afgr,Data!$BO$3)=1,DH48,0)*Z48</f>
        <v>0</v>
      </c>
      <c r="DJ48" s="12">
        <f>(BZ48+CC48+CJ48-AE48)*VLOOKUP($R48,Afgr,Data!$AX$3)</f>
        <v>0</v>
      </c>
      <c r="DK48">
        <f>DG48+DJ48</f>
        <v>16.3125</v>
      </c>
      <c r="DL48">
        <f>IF(Nbal!CQ48&lt;&gt;"",Nbal!CQ48,DK48)</f>
        <v>16.3125</v>
      </c>
      <c r="DM48">
        <f>VLOOKUP(R48,Afgr,Data!$AT$3)</f>
        <v>0</v>
      </c>
      <c r="DN48">
        <f>IF($AO48="FE",$AM48*$AP48*$DL48*0.01,$AM48*100*$DM48*0.01*DL48*0.01)</f>
        <v>1436.1524999999999</v>
      </c>
      <c r="DO48">
        <f>IF(VLOOKUP(R48,Afgr,Data!$BO$3)=1,DN48,0)*Z48</f>
        <v>0</v>
      </c>
      <c r="DP48">
        <f>IF(ISERROR(DN48/VLOOKUP(R48,Afgr,Data!$AY$3)),0,DN48/VLOOKUP(R48,Afgr,Data!$AY$3))</f>
        <v>229.78439999999998</v>
      </c>
      <c r="DQ48">
        <f>DP48*Z48</f>
        <v>390.63347999999996</v>
      </c>
      <c r="DS48">
        <f>IF($AO48="FE",$AM48*$AP48*VLOOKUP($R48,Afgr,Data!$BC$3)*0.001,$AM48*100*$DM48*0.01*VLOOKUP($R48,Afgr,Data!$BC$3)*0.001)</f>
        <v>32.574800000000003</v>
      </c>
      <c r="DT48">
        <f>DS48*Z48</f>
        <v>55.377160000000003</v>
      </c>
      <c r="DV48">
        <f>IF($AO48="FE",$AM48*$AP48*VLOOKUP($R48,Afgr,Data!$BF$3)*0.001,$AM48*100*$DM48*0.01*VLOOKUP($R48,Afgr,Data!$BF$3)*0.001)</f>
        <v>255.316</v>
      </c>
      <c r="DW48">
        <f>DV48*Z48</f>
        <v>434.03719999999998</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206</v>
      </c>
      <c r="EZ48">
        <f>IF(VLOOKUP($R48,Afgr,Data!$DS$3)=5,($AM48*0.02742-$AM48*0.0001*$EY48+$AM48*0.0000001111*$EY48*$EY48),0)</f>
        <v>81.895941159999964</v>
      </c>
      <c r="FA48" s="2">
        <f>CB48+CL48</f>
        <v>0</v>
      </c>
      <c r="FB48">
        <f>IF(VLOOKUP($T48,Efgr,Data!$BH$53)=5,($BR48*0.02742-$BR48*0.0001*$FA48+$BR48*0.0000001111*$FA48*$FA48),0)</f>
        <v>0</v>
      </c>
      <c r="FC48" s="3">
        <f>EU48+EV48+EW48+EX48+EZ48+FB48</f>
        <v>81.895941159999964</v>
      </c>
      <c r="FD48" s="3">
        <f>FC48*Z48</f>
        <v>139.22309997199994</v>
      </c>
      <c r="FF48" s="211">
        <f>BZ48+CC48</f>
        <v>206</v>
      </c>
      <c r="FG48" s="211">
        <f>FF48*Z48</f>
        <v>350.2</v>
      </c>
      <c r="FH48" s="211">
        <f>CE48+CH48+CO48</f>
        <v>0</v>
      </c>
      <c r="FI48" s="211">
        <f>FH48*Z48</f>
        <v>0</v>
      </c>
      <c r="FJ48">
        <f>VLOOKUP($R48,Afgr,Data!$DK$3)*VLOOKUP($R48,Afgr,Data!$AT$3)*0.01*VLOOKUP($R48,Afgr,Data!$AW$3)*0.01/6.25</f>
        <v>0</v>
      </c>
      <c r="FK48">
        <f>FJ48*Z48</f>
        <v>0</v>
      </c>
      <c r="FL48" s="4">
        <f>IF(R48&gt;1,Deposition,0)</f>
        <v>15</v>
      </c>
      <c r="FM48" s="4">
        <f>FL48*Z48</f>
        <v>25.5</v>
      </c>
      <c r="FN48">
        <f>FC48</f>
        <v>81.895941159999964</v>
      </c>
      <c r="FO48">
        <f>FN48*Z48</f>
        <v>139.22309997199994</v>
      </c>
      <c r="FP48" s="211">
        <f>SUM(FF48,FH48,FJ48,FL48,FN48)</f>
        <v>302.89594115999995</v>
      </c>
      <c r="FQ48">
        <f>DP48+EB48+EL48</f>
        <v>229.78439999999998</v>
      </c>
      <c r="FR48" s="3">
        <f>FP48-FQ48</f>
        <v>73.111541159999973</v>
      </c>
      <c r="FS48" s="19">
        <f>FP48*Z48</f>
        <v>514.92309997199993</v>
      </c>
      <c r="FT48" s="19">
        <f>FQ48*Z48</f>
        <v>390.63347999999996</v>
      </c>
      <c r="FU48" s="3">
        <f>FR48*Z48</f>
        <v>124.28961997199995</v>
      </c>
      <c r="FW48">
        <f>CW48</f>
        <v>27</v>
      </c>
      <c r="FX48">
        <f>FW48*Z48</f>
        <v>45.9</v>
      </c>
      <c r="FY48">
        <f>IX48+MB48</f>
        <v>32.574800000000003</v>
      </c>
      <c r="FZ48">
        <f>FY48*Z48</f>
        <v>55.377160000000003</v>
      </c>
      <c r="GA48">
        <f>FW48-FY48</f>
        <v>-5.5748000000000033</v>
      </c>
      <c r="GB48">
        <f>GA48*Z48</f>
        <v>-9.4771600000000049</v>
      </c>
      <c r="GD48">
        <f>DE48</f>
        <v>96</v>
      </c>
      <c r="GE48">
        <f>GD48*Z48</f>
        <v>163.19999999999999</v>
      </c>
      <c r="GF48">
        <f>JE48+MH48</f>
        <v>255.316</v>
      </c>
      <c r="GG48">
        <f>GF48*Z48</f>
        <v>434.03719999999998</v>
      </c>
      <c r="GH48">
        <f>GD48-GF48</f>
        <v>-159.316</v>
      </c>
      <c r="GI48">
        <f>GH48*Z48</f>
        <v>-270.8372</v>
      </c>
      <c r="GK48">
        <f>AA48</f>
        <v>1</v>
      </c>
      <c r="GL48" s="211">
        <f>FF48+FH48+FN48</f>
        <v>287.89594115999995</v>
      </c>
      <c r="GM48" s="211">
        <f>IF(R48=1,"",IF(GK48=1,GL48,""))</f>
        <v>287.89594115999995</v>
      </c>
      <c r="GN48" s="211" t="str">
        <f>IF(R48=1,"",IF(GK48=2,GL48,""))</f>
        <v/>
      </c>
      <c r="GO48" s="211" t="str">
        <f>IF(R48=1,"",IF(GK48=3,GL48,""))</f>
        <v/>
      </c>
      <c r="GP48" s="211" t="str">
        <f>IF(R48=1,"",IF(GK48=4,GL48,""))</f>
        <v/>
      </c>
      <c r="GQ48" s="149">
        <f>IF(OR(R48=1,VLOOKUP(R48,Afgr,Data!$BV$3)=1,VLOOKUP(R48,Afgr,Data!$BW$3)=1),0,IF(GK48=1,Nniveau1,IF(GK48=2,Nniveau2,IF(GK48=3,Nniveau3,IF(GK48=4,Nniveau4,GL48)))))</f>
        <v>197.65542292344122</v>
      </c>
      <c r="GR48" s="241">
        <v>0.32550000000000001</v>
      </c>
      <c r="GS48" s="6">
        <v>0</v>
      </c>
      <c r="GT48" s="149">
        <f>CC48+CM48</f>
        <v>206</v>
      </c>
      <c r="GU48" s="6">
        <f>$FN48</f>
        <v>81.895941159999964</v>
      </c>
      <c r="GV48" s="241">
        <v>0.25280000000000002</v>
      </c>
      <c r="GW48">
        <f>CO48</f>
        <v>0</v>
      </c>
      <c r="GX48" s="241">
        <v>0.376</v>
      </c>
      <c r="GY48" s="149">
        <f>CD48+CN48</f>
        <v>0</v>
      </c>
      <c r="GZ48" s="241">
        <f>IF(B48&gt;3,0.3539,1.0749)</f>
        <v>0.35389999999999999</v>
      </c>
      <c r="HA48" s="11">
        <f>$FQ48</f>
        <v>229.78439999999998</v>
      </c>
      <c r="HB48" s="241">
        <v>0.19359999999999999</v>
      </c>
      <c r="HC48" s="241">
        <f>VLOOKUP($R48,Afgr,Data!$DM$3)</f>
        <v>7</v>
      </c>
      <c r="HD48" s="24">
        <f>IF($HC48&gt;1,0,(VLOOKUP($X48,Afgr,Data!$DP$3)+IF(VLOOKUP($X48,Afgr,Data!$DP$3)=0,VLOOKUP($T48,Efgr,Data!$BI$53,0))))+IF(AND($HC48=7,VLOOKUP($X48,Afgr,Data!$DQ$3)=-2),-2,0)+IF(AND($HC48=6,VLOOKUP($T48,Efgr,Data!$BI$53)=2),8,0)</f>
        <v>0</v>
      </c>
      <c r="HE48" s="6">
        <f>VLOOKUP(SUM(HC48:HD48),Nlesafgr,3)</f>
        <v>-165.7</v>
      </c>
      <c r="HF48" s="7">
        <f>VLOOKUP($O48,Afgr,Data!$DN$3)</f>
        <v>4</v>
      </c>
      <c r="HG48" s="24">
        <f>IF(HF48&gt;1,0,VLOOKUP($R48,Afgr,Data!$DO$3)+IF(VLOOKUP($R48,Afgr,Data!$DO$3)=1,0,VLOOKUP($P48,Efgr,Data!$BJ$53)))</f>
        <v>0</v>
      </c>
      <c r="HH48" s="6">
        <f>VLOOKUP(SUM(HF48:HG48),Nlesforfrugt,3)</f>
        <v>34.700000000000003</v>
      </c>
      <c r="HI48" s="241">
        <f>GR48*GQ48+GV48*(GT48+GU48)+GX48*GW48+GZ48*GY48-HB48*HA48+HE48+HH48</f>
        <v>-38.369325753171879</v>
      </c>
      <c r="HJ48" s="241">
        <f>Nlesafskaering</f>
        <v>59.6</v>
      </c>
      <c r="HK48" s="241">
        <f>Teknologi1</f>
        <v>2455</v>
      </c>
      <c r="HL48" s="6">
        <v>2001</v>
      </c>
      <c r="HM48" s="241">
        <f>Teknologi2</f>
        <v>1962.2</v>
      </c>
      <c r="HN48" s="241">
        <f>Tandel</f>
        <v>0.54659999999999997</v>
      </c>
      <c r="HO48" s="241">
        <f>IF(OR(HI48&gt;0,HI48=0),HJ48+HK48/(HL48-HM48),HJ48+HK48/(HL48-HM48)+HN48*HI48)</f>
        <v>101.90052241960498</v>
      </c>
      <c r="HP48" s="241">
        <f>IF(HI48&gt;0,HI48,0.001)</f>
        <v>1E-3</v>
      </c>
      <c r="HQ48" s="241">
        <v>1.5020000000000001E-3</v>
      </c>
      <c r="HR48" s="24">
        <f>IF(R48=1,0,VLOOKUP(PostnrNbal,AfstromData,VLOOKUP($R48,Afgr,Data!$DL$3)+IF(Jordtype1&lt;7,Jordtype1,6),FALSE)-VLOOKUP(T48,Efgr,Data!$AA$53))</f>
        <v>272.32333333333298</v>
      </c>
      <c r="HS48" s="24">
        <f>IF(Nbal!GA48&lt;&gt;"",Nbal!GA48,Regn2!HR48)</f>
        <v>272.32333333333298</v>
      </c>
      <c r="HT48" s="241">
        <v>5.5400000000000002E-4</v>
      </c>
      <c r="HU48" s="24">
        <f>IF(R48=1,0,VLOOKUP(PostnrNbal,AfstromData,VLOOKUP($O48,Afgr,Data!$DL$3)+IF(B48&lt;7,B48,6),FALSE)-VLOOKUP(P48,Efgr,Data!$AA$53))</f>
        <v>272.32333333333298</v>
      </c>
      <c r="HV48" s="24">
        <f>IF(Nbal!FU48&lt;&gt;"",Nbal!FU48,Regn2!HU48)</f>
        <v>272.32333333333298</v>
      </c>
      <c r="HW48" s="241">
        <v>0.10639999999999999</v>
      </c>
      <c r="HX48" s="6">
        <f>VLOOKUP(B48,Jordtype,Data!$W$112)</f>
        <v>26</v>
      </c>
      <c r="HY48" s="241">
        <v>3.2500000000000001E-2</v>
      </c>
      <c r="HZ48" s="6">
        <f>VLOOKUP(B48,Jordtype,Data!$X$112)</f>
        <v>5</v>
      </c>
      <c r="IA48" s="241">
        <v>1.2453000000000001</v>
      </c>
      <c r="IB48" s="241">
        <f>IF(VLOOKUP(T48,Efgr,Data!$AO$53)=1,MlafgrNUdvask,0)</f>
        <v>0</v>
      </c>
      <c r="IC48" s="20">
        <f>IF(ISERROR((HO48+POWER(HP48,1.2))*(1-EXP(-HQ48*HS48))*EXP(-HT48*HV48)*EXP(-HW48*HX48)*EXP(-HY48*HZ48)*IA48),0,(HO48+POWER(HP48,1.2))*(1-EXP(-HQ48*HS48))*EXP(-HT48*HV48)*EXP(-HW48*HX48)*EXP(-HY48*HZ48)*IA48+IB48)</f>
        <v>1.9583215723396705</v>
      </c>
      <c r="ID48">
        <f>IC48*Z48</f>
        <v>3.3291466729774397</v>
      </c>
      <c r="IE48">
        <f>IF(Nbal!GF48&lt;&gt;"",Nbal!GF48,RetentionNbal)</f>
        <v>65</v>
      </c>
      <c r="IF48">
        <f>IC48*(100-IE48)*0.01</f>
        <v>0.68541255031888471</v>
      </c>
      <c r="IG48">
        <f>IF48*Z48</f>
        <v>1.165201335542104</v>
      </c>
      <c r="IH48" s="2">
        <f>HS48*10000</f>
        <v>2723233.3333333298</v>
      </c>
      <c r="II48" s="2">
        <f>IH48*Z48</f>
        <v>4629496.6666666605</v>
      </c>
      <c r="IJ48">
        <f>IF(ISERROR(IC48*1000*1000/IH48),0,IC48*1000*1000/IH48)</f>
        <v>0.7191163343842516</v>
      </c>
      <c r="IL48">
        <f>AT48+AX48+BK48+BU48</f>
        <v>8520</v>
      </c>
      <c r="IO48">
        <f>VLOOKUP(R48,Afgr,Data!$AP$3)*UdsaedJust</f>
        <v>420</v>
      </c>
      <c r="IP48" s="3">
        <f>IF(Nbal!GN48&lt;&gt;"",Nbal!GN48,IO48)</f>
        <v>420</v>
      </c>
      <c r="IQ48" s="3">
        <f>IP48*Z48</f>
        <v>714</v>
      </c>
      <c r="IS48" s="3">
        <f>IF(HdgVaerdiNbal=1,(BZ48+CA48)*Npris,(BZ48+CA48+CJ48+CK48)*Npris)</f>
        <v>1740.6999999999998</v>
      </c>
      <c r="IT48" s="3">
        <f>IS48*Z48</f>
        <v>2959.1899999999996</v>
      </c>
      <c r="IV48">
        <f>VLOOKUP($R48,Afgr,Data!$BA$3)</f>
        <v>0</v>
      </c>
      <c r="IW48">
        <f>VLOOKUP($R48,Afgr,Data!$BB$3)</f>
        <v>0</v>
      </c>
      <c r="IX48">
        <f>$DS48+$EE48</f>
        <v>32.574800000000003</v>
      </c>
      <c r="IY48">
        <f>CT48</f>
        <v>0</v>
      </c>
      <c r="IZ48">
        <f>CQ48</f>
        <v>27</v>
      </c>
      <c r="JA48" s="3">
        <f>IF(HdgVaerdiNbal=1,(IZ48)*Ppris,(IY48+IZ48)*Ppris)</f>
        <v>375.3</v>
      </c>
      <c r="JB48" s="3">
        <f>JA48*Z48</f>
        <v>638.01</v>
      </c>
      <c r="JD48">
        <f>IF(AND(R48&gt;1,OR(Jordtype1=1,Jordtype1=3,Markvand1=2)),Kudvask,0)</f>
        <v>0</v>
      </c>
      <c r="JE48">
        <f>$DV48+$EH48</f>
        <v>255.316</v>
      </c>
      <c r="JF48">
        <f>DB48</f>
        <v>0</v>
      </c>
      <c r="JG48">
        <f>CY48</f>
        <v>96</v>
      </c>
      <c r="JH48" s="3">
        <f>IF(HdgVaerdiNbal=1,JG48*Kpris,(JF48+JG48)*Kpris)</f>
        <v>624</v>
      </c>
      <c r="JI48" s="3">
        <f>JH48*Z48</f>
        <v>1060.8</v>
      </c>
      <c r="JK48">
        <f>IS48+JA48+JH48</f>
        <v>2740</v>
      </c>
      <c r="JL48" s="3">
        <f>IF(Nbal!GT48&lt;&gt;"",Nbal!GT48,$JK48)</f>
        <v>2740</v>
      </c>
      <c r="JM48" s="3">
        <f>JL48*Z48</f>
        <v>4658</v>
      </c>
      <c r="JO48">
        <f>VLOOKUP(R48,Afgr,Data!$AQ$3)*PlantevJust</f>
        <v>0</v>
      </c>
      <c r="JP48" s="3">
        <f>IF(Nbal!GZ48&lt;&gt;"",Nbal!GZ48,JO48)</f>
        <v>0</v>
      </c>
      <c r="JQ48" s="3">
        <f>JP48*Z48</f>
        <v>0</v>
      </c>
      <c r="JS48">
        <f>VLOOKUP(R48,Afgr,Data!$AR$3)+AM48*VLOOKUP(R48,Afgr,Data!$BH$3)</f>
        <v>369.2</v>
      </c>
      <c r="JT48" s="3">
        <f>IF(Nbal!HF48&lt;&gt;"",Nbal!HF48,JS48)</f>
        <v>369.2</v>
      </c>
      <c r="JU48">
        <f>JT48*Z48</f>
        <v>627.64</v>
      </c>
      <c r="JW48">
        <f>IP48+JL48+JP48+JT48</f>
        <v>3529.2</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125</v>
      </c>
      <c r="KH48">
        <f>IF(VLOOKUP(R48,Afgr,Data!$CE$3)&gt;0,Data!$K$264*K48,0)</f>
        <v>0</v>
      </c>
      <c r="KI48">
        <f>IF(VLOOKUP(R48,Afgr,Data!$CF$3)&gt;0,Data!$K$265*K48,0)</f>
        <v>0</v>
      </c>
      <c r="KJ48">
        <f>IF(VLOOKUP(R48,Afgr,Data!$CV$3)&gt;0,Data!$K$266,0)</f>
        <v>0</v>
      </c>
      <c r="KK48">
        <f>IF(VLOOKUP(R48,Afgr,Data!$CG$3)&gt;0,Data!$K$267*K48,0)</f>
        <v>0</v>
      </c>
      <c r="KL48">
        <f>(KE48+KF48+KG48+KH48+KI48+KJ48+KK48)*MaskJust</f>
        <v>125</v>
      </c>
      <c r="KM48" s="3">
        <f>IF(Nbal!HR48&lt;&gt;"",Nbal!HR48,KL48)</f>
        <v>125</v>
      </c>
      <c r="KN48" s="3">
        <f>KM48*Z48</f>
        <v>212.5</v>
      </c>
      <c r="KP48">
        <f>IF(VLOOKUP(R48,Afgr,Data!$CJ$3)&gt;0,VLOOKUP(R48,Afgr,Data!$CJ$3)*Data!$K$268*K48,0)*MaskJust</f>
        <v>420</v>
      </c>
      <c r="KQ48" s="3">
        <f>IF(Nbal!HX48&lt;&gt;"",Nbal!HX48,KP48)</f>
        <v>420</v>
      </c>
      <c r="KR48" s="3">
        <f>KQ48*Z48</f>
        <v>714</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1472.25</v>
      </c>
      <c r="LE48">
        <f>IF(VLOOKUP($R48,Afgr,Data!$CK$3)&gt;0,IF(AND($S48=2,$BA48&gt;0),Data!$K$271,0),0)</f>
        <v>0</v>
      </c>
      <c r="LF48">
        <f>IF(VLOOKUP($R48,Afgr,Data!$CK$3)&gt;0,(AM48/VLOOKUP($R48,Afgr,Data!$CK$3))*VLOOKUP($R48,Afgr,Data!$CO$3)*VLOOKUP($R48,Afgr,Data!$CN$3),0)</f>
        <v>2041.25</v>
      </c>
      <c r="LG48">
        <f>(LD48+LE48+LF48)*MaskJust</f>
        <v>3513.5</v>
      </c>
      <c r="LH48" s="3">
        <f>IF(Nbal!IV48&lt;&gt;"",Nbal!IV48,LG48)</f>
        <v>3513.5</v>
      </c>
      <c r="LI48" s="3">
        <f>LH48*Z48</f>
        <v>5972.95</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8520</v>
      </c>
      <c r="OE48">
        <f>JW48+MZ48</f>
        <v>3529.2</v>
      </c>
      <c r="OF48">
        <f>OD48-OE48</f>
        <v>4990.8</v>
      </c>
      <c r="OG48">
        <f>OF48*Z48</f>
        <v>8484.36</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1</v>
      </c>
      <c r="PR48">
        <f>IF(PQ48&gt;0,Z48,0)</f>
        <v>1.7</v>
      </c>
      <c r="PT48">
        <f>VLOOKUP($O48,Afgr,Data!$BT$3)</f>
        <v>1</v>
      </c>
      <c r="PU48" s="3">
        <f>PT48*Z48</f>
        <v>1.7</v>
      </c>
      <c r="PV48">
        <f>VLOOKUP($R48,Afgr,Data!$BT$3)</f>
        <v>1</v>
      </c>
      <c r="PW48" s="3">
        <f>PV48*Z48</f>
        <v>1.7</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7100</v>
      </c>
      <c r="QK48">
        <f>QJ48*Z48</f>
        <v>12070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0</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0</v>
      </c>
      <c r="RO48">
        <v>2</v>
      </c>
      <c r="RP48">
        <f>(FF48)*RO48*0.01</f>
        <v>4.12</v>
      </c>
      <c r="RQ48">
        <v>7</v>
      </c>
      <c r="RR48">
        <f>CE48*RQ48*0.01</f>
        <v>0</v>
      </c>
      <c r="RS48">
        <v>7</v>
      </c>
      <c r="RT48">
        <f>(Regn2!CF48+Regn2!CG48)*RS48*0.01</f>
        <v>0</v>
      </c>
      <c r="RW48">
        <f>VLOOKUP(R48,Afgr,Data!$EE$3)</f>
        <v>0</v>
      </c>
      <c r="RX48" s="3">
        <f>RP48+RR48+RT48+RV48+RW48</f>
        <v>4.12</v>
      </c>
    </row>
    <row r="50" spans="1:492" x14ac:dyDescent="0.25">
      <c r="A50" s="214" t="str">
        <f>Nbal!B50</f>
        <v>21-1</v>
      </c>
      <c r="B50">
        <v>11</v>
      </c>
      <c r="C50">
        <v>1</v>
      </c>
      <c r="D50">
        <f>IF(C50=1,VLOOKUP(B50,Jordtype,Data!$K$112),VLOOKUP(B50,Jordtype,Data!$L$112))</f>
        <v>7</v>
      </c>
      <c r="E50">
        <f>IF(C50=1,VLOOKUP(B50,Jordtype,Data!$M$112),VLOOKUP(B50,Jordtype,Data!$N$112))</f>
        <v>12</v>
      </c>
      <c r="F50">
        <f>IF(OR(B50=1,B50=3),0,IF(OR(B50=2,B50=4),1,IF(OR(B50=5,B50=6),2,3)))</f>
        <v>3</v>
      </c>
      <c r="G50">
        <f>IF(C50=1,VLOOKUP(B50,Jordtype,Data!$Q$112),VLOOKUP(B50,Jordtype,Data!$R$112))</f>
        <v>23</v>
      </c>
      <c r="H50">
        <f>IF(C50=1,VLOOKUP(B50,Jordtype,Data!$O$112),VLOOKUP(B50,Jordtype,Data!$P$112))</f>
        <v>17</v>
      </c>
      <c r="I50">
        <f>IF(B50&lt;5,0,1)</f>
        <v>1</v>
      </c>
      <c r="J50">
        <f>IF(B50&lt;5,PlojJB,1)</f>
        <v>1</v>
      </c>
      <c r="K50">
        <f>IF(B50&lt;5,SaaJB,1)</f>
        <v>1</v>
      </c>
      <c r="L50">
        <f>IF(C50=1,VLOOKUP(B50,Jordtype,Data!$S$112),VLOOKUP(B50,Jordtype,Data!$T$112))</f>
        <v>6</v>
      </c>
      <c r="M50">
        <f>IF(C50=1,VLOOKUP(B50,Jordtype,Data!$U$112),VLOOKUP(B50,Jordtype,Data!$V$112))</f>
        <v>11</v>
      </c>
      <c r="O50">
        <v>28</v>
      </c>
      <c r="P50">
        <v>1</v>
      </c>
      <c r="Q50" t="b">
        <v>0</v>
      </c>
      <c r="R50">
        <v>28</v>
      </c>
      <c r="S50">
        <v>1</v>
      </c>
      <c r="T50">
        <v>1</v>
      </c>
      <c r="U50">
        <v>1</v>
      </c>
      <c r="V50">
        <v>1</v>
      </c>
      <c r="X50">
        <v>28</v>
      </c>
      <c r="Z50">
        <f>Nbal!AG50</f>
        <v>0.4</v>
      </c>
      <c r="AA50">
        <v>4</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t="str">
        <f>VLOOKUP(R50,Afgr,3)</f>
        <v>FE</v>
      </c>
      <c r="AP50">
        <f>IF(AO50="FE",VLOOKUP($R50,Afgr,Data!$AV$3),0)</f>
        <v>1.1599999999999999</v>
      </c>
      <c r="AR50">
        <f>VLOOKUP(R50,Afgr,4)</f>
        <v>1.2</v>
      </c>
      <c r="AS50" s="3">
        <f>IF(Nbal!CW50&lt;&gt;"",Nbal!CW50,AR50)</f>
        <v>1.2</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14</v>
      </c>
      <c r="DH50">
        <f>IF($AO50="FE",$AM50*$AP50*$DG50*0.01,$AM50*100*$DM50*0.01*$DG50*0.01)</f>
        <v>0</v>
      </c>
      <c r="DI50">
        <f>IF(VLOOKUP(R50,Afgr,Data!$BO$3)=1,DH50,0)*Z50</f>
        <v>0</v>
      </c>
      <c r="DJ50" s="12">
        <f>(BZ50+CC50+CJ50-AE50)*VLOOKUP($R50,Afgr,Data!$AX$3)</f>
        <v>0</v>
      </c>
      <c r="DK50">
        <f>DG50+DJ50</f>
        <v>14</v>
      </c>
      <c r="DL50">
        <f>IF(Nbal!CQ50&lt;&gt;"",Nbal!CQ50,DK50)</f>
        <v>14</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15</v>
      </c>
      <c r="FM50" s="4">
        <f>FL50*Z50</f>
        <v>6</v>
      </c>
      <c r="FN50">
        <f>FC50</f>
        <v>0</v>
      </c>
      <c r="FO50">
        <f>FN50*Z50</f>
        <v>0</v>
      </c>
      <c r="FP50" s="211">
        <f>SUM(FF50,FH50,FJ50,FL50,FN50)</f>
        <v>15</v>
      </c>
      <c r="FQ50">
        <f>DP50+EB50+EL50</f>
        <v>0</v>
      </c>
      <c r="FR50" s="3">
        <f>FP50-FQ50</f>
        <v>15</v>
      </c>
      <c r="FS50" s="19">
        <f>FP50*Z50</f>
        <v>6</v>
      </c>
      <c r="FT50" s="19">
        <f>FQ50*Z50</f>
        <v>0</v>
      </c>
      <c r="FU50" s="3">
        <f>FR50*Z50</f>
        <v>6</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4</v>
      </c>
      <c r="GL50" s="211">
        <f>FF50+FH50+FN50</f>
        <v>0</v>
      </c>
      <c r="GM50" s="211" t="str">
        <f>IF(R50=1,"",IF(GK50=1,GL50,""))</f>
        <v/>
      </c>
      <c r="GN50" s="211" t="str">
        <f>IF(R50=1,"",IF(GK50=2,GL50,""))</f>
        <v/>
      </c>
      <c r="GO50" s="211" t="str">
        <f>IF(R50=1,"",IF(GK50=3,GL50,""))</f>
        <v/>
      </c>
      <c r="GP50" s="211">
        <f>IF(R50=1,"",IF(GK50=4,GL50,""))</f>
        <v>0</v>
      </c>
      <c r="GQ50" s="149">
        <f>IF(OR(R50=1,VLOOKUP(R50,Afgr,Data!$BV$3)=1,VLOOKUP(R50,Afgr,Data!$BW$3)=1),0,IF(GK50=1,Nniveau1,IF(GK50=2,Nniveau2,IF(GK50=3,Nniveau3,IF(GK50=4,Nniveau4,GL50)))))</f>
        <v>46.222222222222221</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7</v>
      </c>
      <c r="HD50" s="24">
        <f>IF($HC50&gt;1,0,(VLOOKUP($X50,Afgr,Data!$DP$3)+IF(VLOOKUP($X50,Afgr,Data!$DP$3)=0,VLOOKUP($T50,Efgr,Data!$BI$53,0))))+IF(AND($HC50=7,VLOOKUP($X50,Afgr,Data!$DQ$3)=-2),-2,0)+IF(AND($HC50=6,VLOOKUP($T50,Efgr,Data!$BI$53)=2),8,0)</f>
        <v>0</v>
      </c>
      <c r="HE50" s="6">
        <f>VLOOKUP(SUM(HC50:HD50),Nlesafgr,3)</f>
        <v>-165.7</v>
      </c>
      <c r="HF50" s="7">
        <f>VLOOKUP($O50,Afgr,Data!$DN$3)</f>
        <v>4</v>
      </c>
      <c r="HG50" s="24">
        <f>IF(HF50&gt;1,0,VLOOKUP($R50,Afgr,Data!$DO$3)+IF(VLOOKUP($R50,Afgr,Data!$DO$3)=1,0,VLOOKUP($P50,Efgr,Data!$BJ$53)))</f>
        <v>0</v>
      </c>
      <c r="HH50" s="6">
        <f>VLOOKUP(SUM(HF50:HG50),Nlesforfrugt,3)</f>
        <v>34.700000000000003</v>
      </c>
      <c r="HI50" s="241">
        <f>GR50*GQ50+GV50*(GT50+GU50)+GX50*GW50+GZ50*GY50-HB50*HA50+HE50+HH50</f>
        <v>-115.95466666666665</v>
      </c>
      <c r="HJ50" s="241">
        <f>Nlesafskaering</f>
        <v>59.6</v>
      </c>
      <c r="HK50" s="241">
        <f>Teknologi1</f>
        <v>2455</v>
      </c>
      <c r="HL50" s="6">
        <v>2001</v>
      </c>
      <c r="HM50" s="241">
        <f>Teknologi2</f>
        <v>1962.2</v>
      </c>
      <c r="HN50" s="241">
        <f>Tandel</f>
        <v>0.54659999999999997</v>
      </c>
      <c r="HO50" s="241">
        <f>IF(OR(HI50&gt;0,HI50=0),HJ50+HK50/(HL50-HM50),HJ50+HK50/(HL50-HM50)+HN50*HI50)</f>
        <v>59.492375076288745</v>
      </c>
      <c r="HP50" s="241">
        <f>IF(HI50&gt;0,HI50,0.001)</f>
        <v>1E-3</v>
      </c>
      <c r="HQ50" s="241">
        <v>1.5020000000000001E-3</v>
      </c>
      <c r="HR50" s="24">
        <f>IF(R50=1,0,VLOOKUP(PostnrNbal,AfstromData,VLOOKUP($R50,Afgr,Data!$DL$3)+IF(Jordtype1&lt;7,Jordtype1,6),FALSE)-VLOOKUP(T50,Efgr,Data!$AA$53))</f>
        <v>272.32333333333298</v>
      </c>
      <c r="HS50" s="24">
        <f>IF(Nbal!GA50&lt;&gt;"",Nbal!GA50,Regn2!HR50)</f>
        <v>272.32333333333298</v>
      </c>
      <c r="HT50" s="241">
        <v>5.5400000000000002E-4</v>
      </c>
      <c r="HU50" s="24">
        <f>IF(R50=1,0,VLOOKUP(PostnrNbal,AfstromData,VLOOKUP($O50,Afgr,Data!$DL$3)+IF(B50&lt;7,B50,6),FALSE)-VLOOKUP(P50,Efgr,Data!$AA$53))</f>
        <v>272.32333333333298</v>
      </c>
      <c r="HV50" s="24">
        <f>IF(Nbal!FU50&lt;&gt;"",Nbal!FU50,Regn2!HU50)</f>
        <v>272.32333333333298</v>
      </c>
      <c r="HW50" s="241">
        <v>0.10639999999999999</v>
      </c>
      <c r="HX50" s="6">
        <f>VLOOKUP(B50,Jordtype,Data!$W$112)</f>
        <v>26</v>
      </c>
      <c r="HY50" s="241">
        <v>3.2500000000000001E-2</v>
      </c>
      <c r="HZ50" s="6">
        <f>VLOOKUP(B50,Jordtype,Data!$X$112)</f>
        <v>5</v>
      </c>
      <c r="IA50" s="241">
        <v>1.2453000000000001</v>
      </c>
      <c r="IB50" s="241">
        <f>IF(VLOOKUP(T50,Efgr,Data!$AO$53)=1,MlafgrNUdvask,0)</f>
        <v>0</v>
      </c>
      <c r="IC50" s="20">
        <f>IF(ISERROR((HO50+POWER(HP50,1.2))*(1-EXP(-HQ50*HS50))*EXP(-HT50*HV50)*EXP(-HW50*HX50)*EXP(-HY50*HZ50)*IA50),0,(HO50+POWER(HP50,1.2))*(1-EXP(-HQ50*HS50))*EXP(-HT50*HV50)*EXP(-HW50*HX50)*EXP(-HY50*HZ50)*IA50+IB50)</f>
        <v>1.1433249158407519</v>
      </c>
      <c r="ID50">
        <f>IC50*Z50</f>
        <v>0.4573299663363008</v>
      </c>
      <c r="IE50">
        <f>IF(Nbal!GF50&lt;&gt;"",Nbal!GF50,RetentionNbal)</f>
        <v>65</v>
      </c>
      <c r="IF50">
        <f>IC50*(100-IE50)*0.01</f>
        <v>0.40016372054426319</v>
      </c>
      <c r="IG50">
        <f>IF50*Z50</f>
        <v>0.16006548821770528</v>
      </c>
      <c r="IH50" s="2">
        <f>HS50*10000</f>
        <v>2723233.3333333298</v>
      </c>
      <c r="II50" s="2">
        <f>IH50*Z50</f>
        <v>1089293.3333333319</v>
      </c>
      <c r="IJ50">
        <f>IF(ISERROR(IC50*1000*1000/IH50),0,IC50*1000*1000/IH50)</f>
        <v>0.41984096692929479</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0</v>
      </c>
      <c r="OR50">
        <f>OO50*OP50*OQ50</f>
        <v>0</v>
      </c>
      <c r="OS50" s="3">
        <f>OR50*Z50</f>
        <v>0</v>
      </c>
      <c r="OT50" s="3">
        <f>IF(Q50,1,0)*OS50</f>
        <v>0</v>
      </c>
      <c r="OV50">
        <f>VLOOKUP($T50,Efgr,Data!$AN$53)</f>
        <v>0</v>
      </c>
      <c r="OW50">
        <f>VLOOKUP($R50,Afgr,Data!$BQ$3)</f>
        <v>0</v>
      </c>
      <c r="OX50">
        <f>VLOOKUP($X50,Afgr,Data!$BR$3)</f>
        <v>0</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1</v>
      </c>
      <c r="PR50">
        <f>IF(PQ50&gt;0,Z50,0)</f>
        <v>0.4</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0</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0</v>
      </c>
      <c r="RO50">
        <v>2</v>
      </c>
      <c r="RP50">
        <f>(FF50)*RO50*0.01</f>
        <v>0</v>
      </c>
      <c r="RQ50">
        <v>7</v>
      </c>
      <c r="RR50">
        <f>CE50*RQ50*0.01</f>
        <v>0</v>
      </c>
      <c r="RS50">
        <v>7</v>
      </c>
      <c r="RT50">
        <f>(Regn2!CF50+Regn2!CG50)*RS50*0.01</f>
        <v>0</v>
      </c>
      <c r="RW50">
        <f>VLOOKUP(R50,Afgr,Data!$EE$3)</f>
        <v>0</v>
      </c>
      <c r="RX50" s="3">
        <f>RP50+RR50+RT50+RV50+RW50</f>
        <v>0</v>
      </c>
    </row>
    <row r="52" spans="1:492" x14ac:dyDescent="0.25">
      <c r="A52" s="214" t="str">
        <f>Nbal!B52</f>
        <v>21-2</v>
      </c>
      <c r="B52">
        <v>11</v>
      </c>
      <c r="C52">
        <v>1</v>
      </c>
      <c r="D52">
        <f>IF(C52=1,VLOOKUP(B52,Jordtype,Data!$K$112),VLOOKUP(B52,Jordtype,Data!$L$112))</f>
        <v>7</v>
      </c>
      <c r="E52">
        <f>IF(C52=1,VLOOKUP(B52,Jordtype,Data!$M$112),VLOOKUP(B52,Jordtype,Data!$N$112))</f>
        <v>12</v>
      </c>
      <c r="F52">
        <f>IF(OR(B52=1,B52=3),0,IF(OR(B52=2,B52=4),1,IF(OR(B52=5,B52=6),2,3)))</f>
        <v>3</v>
      </c>
      <c r="G52">
        <f>IF(C52=1,VLOOKUP(B52,Jordtype,Data!$Q$112),VLOOKUP(B52,Jordtype,Data!$R$112))</f>
        <v>23</v>
      </c>
      <c r="H52">
        <f>IF(C52=1,VLOOKUP(B52,Jordtype,Data!$O$112),VLOOKUP(B52,Jordtype,Data!$P$112))</f>
        <v>17</v>
      </c>
      <c r="I52">
        <f>IF(B52&lt;5,0,1)</f>
        <v>1</v>
      </c>
      <c r="J52">
        <f>IF(B52&lt;5,PlojJB,1)</f>
        <v>1</v>
      </c>
      <c r="K52">
        <f>IF(B52&lt;5,SaaJB,1)</f>
        <v>1</v>
      </c>
      <c r="L52">
        <f>IF(C52=1,VLOOKUP(B52,Jordtype,Data!$S$112),VLOOKUP(B52,Jordtype,Data!$T$112))</f>
        <v>6</v>
      </c>
      <c r="M52">
        <f>IF(C52=1,VLOOKUP(B52,Jordtype,Data!$U$112),VLOOKUP(B52,Jordtype,Data!$V$112))</f>
        <v>11</v>
      </c>
      <c r="O52">
        <v>35</v>
      </c>
      <c r="P52">
        <v>5</v>
      </c>
      <c r="Q52" t="b">
        <v>0</v>
      </c>
      <c r="R52">
        <v>40</v>
      </c>
      <c r="S52">
        <v>1</v>
      </c>
      <c r="T52">
        <v>1</v>
      </c>
      <c r="U52">
        <v>1</v>
      </c>
      <c r="V52">
        <v>1</v>
      </c>
      <c r="X52">
        <v>35</v>
      </c>
      <c r="Z52">
        <f>Nbal!AG52</f>
        <v>3.13</v>
      </c>
      <c r="AA52">
        <v>1</v>
      </c>
      <c r="AB52">
        <f>VLOOKUP($R52,Afgr,G52)</f>
        <v>103</v>
      </c>
      <c r="AC52">
        <f>VLOOKUP($O52,Afgr,Data!$AI$3)*VLOOKUP(R52,Afgr,Data!$AJ$3)</f>
        <v>0</v>
      </c>
      <c r="AD52">
        <f>IF($Q52,0,VLOOKUP($P52,Efgr,(Data!$W$53+$V$6-1)))</f>
        <v>17</v>
      </c>
      <c r="AE52">
        <f>AB52-AC52-AD52</f>
        <v>86</v>
      </c>
      <c r="AF52">
        <f>AE52*Z52</f>
        <v>269.18</v>
      </c>
      <c r="AH52">
        <f>VLOOKUP(R52,Afgr,D52)</f>
        <v>44</v>
      </c>
      <c r="AI52">
        <f>VLOOKUP(O52,Afgr,Data!$AL$3)*VLOOKUP(R52,Afgr,E52)</f>
        <v>0</v>
      </c>
      <c r="AJ52">
        <f>VLOOKUP(P52,Efgr,(Data!$Y$53+I52))</f>
        <v>0</v>
      </c>
      <c r="AK52">
        <f>AH52+AI52+AJ52</f>
        <v>44</v>
      </c>
      <c r="AL52">
        <f>AH52+AI52+AJ52</f>
        <v>44</v>
      </c>
      <c r="AM52" s="3">
        <f>IF(Nbal!CK52&lt;&gt;"",Nbal!CK52,AL52)</f>
        <v>44</v>
      </c>
      <c r="AN52">
        <f>AM52*Z52</f>
        <v>137.72</v>
      </c>
      <c r="AO52" t="str">
        <f>VLOOKUP(R52,Afgr,3)</f>
        <v>hkg</v>
      </c>
      <c r="AP52">
        <f>IF(AO52="FE",VLOOKUP($R52,Afgr,Data!$AV$3),0)</f>
        <v>0</v>
      </c>
      <c r="AR52">
        <f>VLOOKUP(R52,Afgr,4)</f>
        <v>145</v>
      </c>
      <c r="AS52" s="3">
        <f>IF(Nbal!CW52&lt;&gt;"",Nbal!CW52,AR52)</f>
        <v>145</v>
      </c>
      <c r="AT52" s="3">
        <f>AM52*AS52</f>
        <v>6380</v>
      </c>
      <c r="AU52" s="3">
        <f>AN52*AS52</f>
        <v>19969.400000000001</v>
      </c>
      <c r="AW52">
        <f>VLOOKUP(R52,Afgr,Data!$AN$3)</f>
        <v>0</v>
      </c>
      <c r="AX52" s="3">
        <f>IF(Nbal!DC52&lt;&gt;"",Nbal!DC52,AW52)</f>
        <v>0</v>
      </c>
      <c r="AY52" s="3">
        <f>AX52*Z52</f>
        <v>0</v>
      </c>
      <c r="BA52">
        <f>VLOOKUP(R52,Afgr,H52)</f>
        <v>2500</v>
      </c>
      <c r="BB52">
        <f>IF(ISERROR(BA52*AM52/AK52),0,(BA52*AM52/AK52))</f>
        <v>2500</v>
      </c>
      <c r="BC52" s="3">
        <f>IF(Nbal!DI52&lt;&gt;"",Nbal!DI52,BB52)</f>
        <v>2500</v>
      </c>
      <c r="BD52">
        <f>BC52*Z52</f>
        <v>7825</v>
      </c>
      <c r="BG52">
        <f>IF($S52=1,BC52,0)</f>
        <v>2500</v>
      </c>
      <c r="BH52">
        <f>IF($S52=1,BD52,0)</f>
        <v>7825</v>
      </c>
      <c r="BI52">
        <f>VLOOKUP(R52,Afgr,Data!$AM$3)</f>
        <v>0.5</v>
      </c>
      <c r="BJ52">
        <f>IF(Nbal!DR52&lt;&gt;"",Nbal!DR52,BI52)</f>
        <v>0.5</v>
      </c>
      <c r="BK52">
        <f>BG52*BJ52</f>
        <v>1250</v>
      </c>
      <c r="BL52">
        <f>BH52*BJ52</f>
        <v>3912.5</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27</v>
      </c>
      <c r="CB52" s="2">
        <f>Nbal!DZ52</f>
        <v>0</v>
      </c>
      <c r="CC52" s="211">
        <f>Nbal!AT52+Nbal!DZ52</f>
        <v>27</v>
      </c>
      <c r="CD52" s="211">
        <f>Nbal!AX52</f>
        <v>0</v>
      </c>
      <c r="CE52">
        <f>Nbal!BH52</f>
        <v>0</v>
      </c>
      <c r="CF52" s="211">
        <f>Nbal!BM52</f>
        <v>87</v>
      </c>
      <c r="CG52" s="2">
        <f>Nbal!EI52</f>
        <v>0</v>
      </c>
      <c r="CH52" s="211">
        <f>Nbal!BM52+Nbal!EI52</f>
        <v>87</v>
      </c>
      <c r="CI52" s="211">
        <f>Nbal!BW52</f>
        <v>0</v>
      </c>
      <c r="CJ52" s="211">
        <f>Nbal!BH52*Nbal!BJ52*0.01</f>
        <v>0</v>
      </c>
      <c r="CK52" s="211">
        <f>(Nbal!BM52*Nbal!BP52*0.01)</f>
        <v>63.945</v>
      </c>
      <c r="CL52" s="211">
        <f>(Nbal!EI52*Nbal!EL52*0.01)</f>
        <v>0</v>
      </c>
      <c r="CM52" s="211">
        <f>(Nbal!BM52*Nbal!BP52*0.01)+(Nbal!EI52*Nbal!EL52*0.01)</f>
        <v>63.945</v>
      </c>
      <c r="CN52" s="211">
        <f>Nbal!BW52*Nbal!BY52*0.01</f>
        <v>0</v>
      </c>
      <c r="CO52">
        <f>Nbal!BT52+Nbal!ER52</f>
        <v>0</v>
      </c>
      <c r="CQ52">
        <f>Nbal!BA52</f>
        <v>0</v>
      </c>
      <c r="CR52">
        <f>Nbal!EC52</f>
        <v>0</v>
      </c>
      <c r="CS52">
        <f>(CQ52+CR52)*Z52</f>
        <v>0</v>
      </c>
      <c r="CT52">
        <f>Nbal!CB52</f>
        <v>17</v>
      </c>
      <c r="CU52">
        <f>Nbal!EV52</f>
        <v>0</v>
      </c>
      <c r="CV52">
        <f>(CT52+CU52)*Z52</f>
        <v>53.21</v>
      </c>
      <c r="CW52">
        <f>Nbal!BA52+Nbal!CB52+Nbal!EC52+Nbal!EV52</f>
        <v>17</v>
      </c>
      <c r="CY52">
        <f>Nbal!BD52</f>
        <v>0</v>
      </c>
      <c r="CZ52">
        <f>Nbal!EF52</f>
        <v>0</v>
      </c>
      <c r="DA52">
        <f>(CY52+CZ52)*Z52</f>
        <v>0</v>
      </c>
      <c r="DB52">
        <f>Nbal!CE52</f>
        <v>47</v>
      </c>
      <c r="DC52">
        <f>Nbal!EY52</f>
        <v>0</v>
      </c>
      <c r="DD52">
        <f>(DB52+DC52)*Z52</f>
        <v>147.10999999999999</v>
      </c>
      <c r="DE52">
        <f>Nbal!BD52+Nbal!CE52+Nbal!EF52+Nbal!EY52</f>
        <v>47</v>
      </c>
      <c r="DG52">
        <f>VLOOKUP($R52,Afgr,Data!$AW$3)</f>
        <v>11.1875</v>
      </c>
      <c r="DH52">
        <f>IF($AO52="FE",$AM52*$AP52*$DG52*0.01,$AM52*100*$DM52*0.01*$DG52*0.01)</f>
        <v>418.41250000000002</v>
      </c>
      <c r="DI52">
        <f>IF(VLOOKUP(R52,Afgr,Data!$BO$3)=1,DH52,0)*Z52</f>
        <v>1309.6311250000001</v>
      </c>
      <c r="DJ52" s="12">
        <f>(BZ52+CC52+CJ52-AE52)*VLOOKUP($R52,Afgr,Data!$AX$3)</f>
        <v>-1.18</v>
      </c>
      <c r="DK52">
        <f>DG52+DJ52</f>
        <v>10.0075</v>
      </c>
      <c r="DL52">
        <f>IF(Nbal!CQ52&lt;&gt;"",Nbal!CQ52,DK52)</f>
        <v>10.0075</v>
      </c>
      <c r="DM52">
        <f>VLOOKUP(R52,Afgr,Data!$AT$3)</f>
        <v>85</v>
      </c>
      <c r="DN52">
        <f>IF($AO52="FE",$AM52*$AP52*$DL52*0.01,$AM52*100*$DM52*0.01*DL52*0.01)</f>
        <v>374.28050000000002</v>
      </c>
      <c r="DO52">
        <f>IF(VLOOKUP(R52,Afgr,Data!$BO$3)=1,DN52,0)*Z52</f>
        <v>1171.497965</v>
      </c>
      <c r="DP52">
        <f>IF(ISERROR(DN52/VLOOKUP(R52,Afgr,Data!$AY$3)),0,DN52/VLOOKUP(R52,Afgr,Data!$AY$3))</f>
        <v>59.884880000000003</v>
      </c>
      <c r="DQ52">
        <f>DP52*Z52</f>
        <v>187.4396744</v>
      </c>
      <c r="DS52">
        <f>IF($AO52="FE",$AM52*$AP52*VLOOKUP($R52,Afgr,Data!$BC$3)*0.001,$AM52*100*$DM52*0.01*VLOOKUP($R52,Afgr,Data!$BC$3)*0.001)</f>
        <v>14.212</v>
      </c>
      <c r="DT52">
        <f>DS52*Z52</f>
        <v>44.483559999999997</v>
      </c>
      <c r="DV52">
        <f>IF($AO52="FE",$AM52*$AP52*VLOOKUP($R52,Afgr,Data!$BF$3)*0.001,$AM52*100*$DM52*0.01*VLOOKUP($R52,Afgr,Data!$BF$3)*0.001)</f>
        <v>17.577999999999999</v>
      </c>
      <c r="DW52">
        <f>DV52*Z52</f>
        <v>55.019139999999993</v>
      </c>
      <c r="DY52">
        <f>IF(ISERROR(VLOOKUP(R52,Afgr,Data!$AZ$3)*DL52/DG52),0,VLOOKUP(R52,Afgr,Data!$AZ$3)*DL52/DG52)</f>
        <v>3.5781005586592181</v>
      </c>
      <c r="DZ52">
        <f>VLOOKUP(R52,Afgr,Data!$AU$3)</f>
        <v>85</v>
      </c>
      <c r="EA52">
        <f>IF($S52=1,$BC52*$DZ52*0.01*DY52*0.01,0)</f>
        <v>76.034636871508383</v>
      </c>
      <c r="EB52">
        <f>EA52/6.25</f>
        <v>12.165541899441342</v>
      </c>
      <c r="EC52">
        <f>EB52*Z52</f>
        <v>38.078146145251402</v>
      </c>
      <c r="EE52">
        <f>IF($S52=1,$BC52*$DZ52*0.01*VLOOKUP($R52,Afgr,Data!$BD$3)*0.001,0)</f>
        <v>1.9125000000000001</v>
      </c>
      <c r="EF52">
        <f>EE52*Z52</f>
        <v>5.9861250000000004</v>
      </c>
      <c r="EH52">
        <f>IF($S52=1,$BC52*$DZ52*0.01*VLOOKUP($R52,Afgr,Data!$BG$3)*0.001,0)</f>
        <v>25.5</v>
      </c>
      <c r="EI52">
        <f>EH52*Z52</f>
        <v>79.814999999999998</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90.944999999999993</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27</v>
      </c>
      <c r="FG52" s="211">
        <f>FF52*Z52</f>
        <v>84.509999999999991</v>
      </c>
      <c r="FH52" s="211">
        <f>CE52+CH52+CO52</f>
        <v>87</v>
      </c>
      <c r="FI52" s="211">
        <f>FH52*Z52</f>
        <v>272.31</v>
      </c>
      <c r="FJ52">
        <f>VLOOKUP($R52,Afgr,Data!$DK$3)*VLOOKUP($R52,Afgr,Data!$AT$3)*0.01*VLOOKUP($R52,Afgr,Data!$AW$3)*0.01/6.25</f>
        <v>2.4344000000000001</v>
      </c>
      <c r="FK52">
        <f>FJ52*Z52</f>
        <v>7.6196720000000004</v>
      </c>
      <c r="FL52" s="4">
        <f>IF(R52&gt;1,Deposition,0)</f>
        <v>15</v>
      </c>
      <c r="FM52" s="4">
        <f>FL52*Z52</f>
        <v>46.949999999999996</v>
      </c>
      <c r="FN52">
        <f>FC52</f>
        <v>0</v>
      </c>
      <c r="FO52">
        <f>FN52*Z52</f>
        <v>0</v>
      </c>
      <c r="FP52" s="211">
        <f>SUM(FF52,FH52,FJ52,FL52,FN52)</f>
        <v>131.43439999999998</v>
      </c>
      <c r="FQ52">
        <f>DP52+EB52+EL52</f>
        <v>72.050421899441346</v>
      </c>
      <c r="FR52" s="3">
        <f>FP52-FQ52</f>
        <v>59.383978100558636</v>
      </c>
      <c r="FS52" s="19">
        <f>FP52*Z52</f>
        <v>411.3896719999999</v>
      </c>
      <c r="FT52" s="19">
        <f>FQ52*Z52</f>
        <v>225.5178205452514</v>
      </c>
      <c r="FU52" s="3">
        <f>FR52*Z52</f>
        <v>185.87185145474854</v>
      </c>
      <c r="FW52">
        <f>CW52</f>
        <v>17</v>
      </c>
      <c r="FX52">
        <f>FW52*Z52</f>
        <v>53.21</v>
      </c>
      <c r="FY52">
        <f>IX52+MB52</f>
        <v>16.124500000000001</v>
      </c>
      <c r="FZ52">
        <f>FY52*Z52</f>
        <v>50.469685000000005</v>
      </c>
      <c r="GA52">
        <f>FW52-FY52</f>
        <v>0.87549999999999883</v>
      </c>
      <c r="GB52">
        <f>GA52*Z52</f>
        <v>2.7403149999999963</v>
      </c>
      <c r="GD52">
        <f>DE52</f>
        <v>47</v>
      </c>
      <c r="GE52">
        <f>GD52*Z52</f>
        <v>147.10999999999999</v>
      </c>
      <c r="GF52">
        <f>JE52+MH52</f>
        <v>43.078000000000003</v>
      </c>
      <c r="GG52">
        <f>GF52*Z52</f>
        <v>134.83413999999999</v>
      </c>
      <c r="GH52">
        <f>GD52-GF52</f>
        <v>3.921999999999997</v>
      </c>
      <c r="GI52">
        <f>GH52*Z52</f>
        <v>12.275859999999991</v>
      </c>
      <c r="GK52">
        <f>AA52</f>
        <v>1</v>
      </c>
      <c r="GL52" s="211">
        <f>FF52+FH52+FN52</f>
        <v>114</v>
      </c>
      <c r="GM52" s="211">
        <f>IF(R52=1,"",IF(GK52=1,GL52,""))</f>
        <v>114</v>
      </c>
      <c r="GN52" s="211" t="str">
        <f>IF(R52=1,"",IF(GK52=2,GL52,""))</f>
        <v/>
      </c>
      <c r="GO52" s="211" t="str">
        <f>IF(R52=1,"",IF(GK52=3,GL52,""))</f>
        <v/>
      </c>
      <c r="GP52" s="211" t="str">
        <f>IF(R52=1,"",IF(GK52=4,GL52,""))</f>
        <v/>
      </c>
      <c r="GQ52" s="149">
        <f>IF(OR(R52=1,VLOOKUP(R52,Afgr,Data!$BV$3)=1,VLOOKUP(R52,Afgr,Data!$BW$3)=1),0,IF(GK52=1,Nniveau1,IF(GK52=2,Nniveau2,IF(GK52=3,Nniveau3,IF(GK52=4,Nniveau4,GL52)))))</f>
        <v>197.65542292344122</v>
      </c>
      <c r="GR52" s="241">
        <v>0.32550000000000001</v>
      </c>
      <c r="GS52" s="6">
        <v>0</v>
      </c>
      <c r="GT52" s="149">
        <f>CC52+CM52</f>
        <v>90.944999999999993</v>
      </c>
      <c r="GU52" s="6">
        <f>$FN52</f>
        <v>0</v>
      </c>
      <c r="GV52" s="241">
        <v>0.25280000000000002</v>
      </c>
      <c r="GW52">
        <f>CO52</f>
        <v>0</v>
      </c>
      <c r="GX52" s="241">
        <v>0.376</v>
      </c>
      <c r="GY52" s="149">
        <f>CD52+CN52</f>
        <v>0</v>
      </c>
      <c r="GZ52" s="241">
        <f>IF(B52&gt;3,0.3539,1.0749)</f>
        <v>0.35389999999999999</v>
      </c>
      <c r="HA52" s="11">
        <f>$FQ52</f>
        <v>72.050421899441346</v>
      </c>
      <c r="HB52" s="241">
        <v>0.19359999999999999</v>
      </c>
      <c r="HC52" s="241">
        <f>VLOOKUP($R52,Afgr,Data!$DM$3)</f>
        <v>1</v>
      </c>
      <c r="HD52" s="24">
        <f>IF($HC52&gt;1,0,(VLOOKUP($X52,Afgr,Data!$DP$3)+IF(VLOOKUP($X52,Afgr,Data!$DP$3)=0,VLOOKUP($T52,Efgr,Data!$BI$53,0))))+IF(AND($HC52=7,VLOOKUP($X52,Afgr,Data!$DQ$3)=-2),-2,0)+IF(AND($HC52=6,VLOOKUP($T52,Efgr,Data!$BI$53)=2),8,0)</f>
        <v>1</v>
      </c>
      <c r="HE52" s="6">
        <f>VLOOKUP(SUM(HC52:HD52),Nlesafgr,3)</f>
        <v>-7.6</v>
      </c>
      <c r="HF52" s="7">
        <f>VLOOKUP($O52,Afgr,Data!$DN$3)</f>
        <v>1</v>
      </c>
      <c r="HG52" s="24">
        <f>IF(HF52&gt;1,0,VLOOKUP($R52,Afgr,Data!$DO$3)+IF(VLOOKUP($R52,Afgr,Data!$DO$3)=1,0,VLOOKUP($P52,Efgr,Data!$BJ$53)))</f>
        <v>1</v>
      </c>
      <c r="HH52" s="6">
        <f>VLOOKUP(SUM(HF52:HG52),Nlesforfrugt,3)</f>
        <v>14.2</v>
      </c>
      <c r="HI52" s="241">
        <f>GR52*GQ52+GV52*(GT52+GU52)+GX52*GW52+GZ52*GY52-HB52*HA52+HE52+HH52</f>
        <v>79.978774481848276</v>
      </c>
      <c r="HJ52" s="241">
        <f>Nlesafskaering</f>
        <v>59.6</v>
      </c>
      <c r="HK52" s="241">
        <f>Teknologi1</f>
        <v>2455</v>
      </c>
      <c r="HL52" s="6">
        <v>2001</v>
      </c>
      <c r="HM52" s="241">
        <f>Teknologi2</f>
        <v>1962.2</v>
      </c>
      <c r="HN52" s="241">
        <f>Tandel</f>
        <v>0.54659999999999997</v>
      </c>
      <c r="HO52" s="241">
        <f>IF(OR(HI52&gt;0,HI52=0),HJ52+HK52/(HL52-HM52),HJ52+HK52/(HL52-HM52)+HN52*HI52)</f>
        <v>122.87319587628873</v>
      </c>
      <c r="HP52" s="241">
        <f>IF(HI52&gt;0,HI52,0.001)</f>
        <v>79.978774481848276</v>
      </c>
      <c r="HQ52" s="241">
        <v>1.5020000000000001E-3</v>
      </c>
      <c r="HR52" s="24">
        <f>IF(R52=1,0,VLOOKUP(PostnrNbal,AfstromData,VLOOKUP($R52,Afgr,Data!$DL$3)+IF(Jordtype1&lt;7,Jordtype1,6),FALSE)-VLOOKUP(T52,Efgr,Data!$AA$53))</f>
        <v>304.76666666666603</v>
      </c>
      <c r="HS52" s="24">
        <f>IF(Nbal!GA52&lt;&gt;"",Nbal!GA52,Regn2!HR52)</f>
        <v>304.76666666666603</v>
      </c>
      <c r="HT52" s="241">
        <v>5.5400000000000002E-4</v>
      </c>
      <c r="HU52" s="24">
        <f>IF(R52=1,0,VLOOKUP(PostnrNbal,AfstromData,VLOOKUP($O52,Afgr,Data!$DL$3)+IF(B52&lt;7,B52,6),FALSE)-VLOOKUP(P52,Efgr,Data!$AA$53))</f>
        <v>249.74999999999898</v>
      </c>
      <c r="HV52" s="24">
        <f>IF(Nbal!FU52&lt;&gt;"",Nbal!FU52,Regn2!HU52)</f>
        <v>249.74999999999898</v>
      </c>
      <c r="HW52" s="241">
        <v>0.10639999999999999</v>
      </c>
      <c r="HX52" s="6">
        <f>VLOOKUP(B52,Jordtype,Data!$W$112)</f>
        <v>26</v>
      </c>
      <c r="HY52" s="241">
        <v>3.2500000000000001E-2</v>
      </c>
      <c r="HZ52" s="6">
        <f>VLOOKUP(B52,Jordtype,Data!$X$112)</f>
        <v>5</v>
      </c>
      <c r="IA52" s="241">
        <v>1.2453000000000001</v>
      </c>
      <c r="IB52" s="241">
        <f>IF(VLOOKUP(T52,Efgr,Data!$AO$53)=1,MlafgrNUdvask,0)</f>
        <v>0</v>
      </c>
      <c r="IC52" s="20">
        <f>IF(ISERROR((HO52+POWER(HP52,1.2))*(1-EXP(-HQ52*HS52))*EXP(-HT52*HV52)*EXP(-HW52*HX52)*EXP(-HY52*HZ52)*IA52),0,(HO52+POWER(HP52,1.2))*(1-EXP(-HQ52*HS52))*EXP(-HT52*HV52)*EXP(-HW52*HX52)*EXP(-HY52*HZ52)*IA52+IB52)</f>
        <v>6.7065637626208936</v>
      </c>
      <c r="ID52">
        <f>IC52*Z52</f>
        <v>20.991544577003395</v>
      </c>
      <c r="IE52">
        <f>IF(Nbal!GF52&lt;&gt;"",Nbal!GF52,RetentionNbal)</f>
        <v>65</v>
      </c>
      <c r="IF52">
        <f>IC52*(100-IE52)*0.01</f>
        <v>2.3472973169173126</v>
      </c>
      <c r="IG52">
        <f>IF52*Z52</f>
        <v>7.3470406019511882</v>
      </c>
      <c r="IH52" s="2">
        <f>HS52*10000</f>
        <v>3047666.6666666605</v>
      </c>
      <c r="II52" s="2">
        <f>IH52*Z52</f>
        <v>9539196.6666666474</v>
      </c>
      <c r="IJ52">
        <f>IF(ISERROR(IC52*1000*1000/IH52),0,IC52*1000*1000/IH52)</f>
        <v>2.2005568509091895</v>
      </c>
      <c r="IL52">
        <f>AT52+AX52+BK52+BU52</f>
        <v>7630</v>
      </c>
      <c r="IO52">
        <f>VLOOKUP(R52,Afgr,Data!$AP$3)*UdsaedJust</f>
        <v>488</v>
      </c>
      <c r="IP52" s="3">
        <f>IF(Nbal!GN52&lt;&gt;"",Nbal!GN52,IO52)</f>
        <v>488</v>
      </c>
      <c r="IQ52" s="3">
        <f>IP52*Z52</f>
        <v>1527.44</v>
      </c>
      <c r="IS52" s="3">
        <f>IF(HdgVaerdiNbal=1,(BZ52+CA52)*Npris,(BZ52+CA52+CJ52+CK52)*Npris)</f>
        <v>228.14999999999998</v>
      </c>
      <c r="IT52" s="3">
        <f>IS52*Z52</f>
        <v>714.10949999999991</v>
      </c>
      <c r="IV52">
        <f>VLOOKUP($R52,Afgr,Data!$BA$3)</f>
        <v>0</v>
      </c>
      <c r="IW52">
        <f>VLOOKUP($R52,Afgr,Data!$BB$3)</f>
        <v>2.5</v>
      </c>
      <c r="IX52">
        <f>$DS52+$EE52</f>
        <v>16.124500000000001</v>
      </c>
      <c r="IY52">
        <f>CT52</f>
        <v>17</v>
      </c>
      <c r="IZ52">
        <f>CQ52</f>
        <v>0</v>
      </c>
      <c r="JA52" s="3">
        <f>IF(HdgVaerdiNbal=1,(IZ52)*Ppris,(IY52+IZ52)*Ppris)</f>
        <v>0</v>
      </c>
      <c r="JB52" s="3">
        <f>JA52*Z52</f>
        <v>0</v>
      </c>
      <c r="JD52">
        <f>IF(AND(R52&gt;1,OR(Jordtype1=1,Jordtype1=3,Markvand1=2)),Kudvask,0)</f>
        <v>0</v>
      </c>
      <c r="JE52">
        <f>$DV52+$EH52</f>
        <v>43.078000000000003</v>
      </c>
      <c r="JF52">
        <f>DB52</f>
        <v>47</v>
      </c>
      <c r="JG52">
        <f>CY52</f>
        <v>0</v>
      </c>
      <c r="JH52" s="3">
        <f>IF(HdgVaerdiNbal=1,JG52*Kpris,(JF52+JG52)*Kpris)</f>
        <v>0</v>
      </c>
      <c r="JI52" s="3">
        <f>JH52*Z52</f>
        <v>0</v>
      </c>
      <c r="JK52">
        <f>IS52+JA52+JH52</f>
        <v>228.14999999999998</v>
      </c>
      <c r="JL52" s="3">
        <f>IF(Nbal!GT52&lt;&gt;"",Nbal!GT52,$JK52)</f>
        <v>228.14999999999998</v>
      </c>
      <c r="JM52" s="3">
        <f>JL52*Z52</f>
        <v>714.10949999999991</v>
      </c>
      <c r="JO52">
        <f>VLOOKUP(R52,Afgr,Data!$AQ$3)*PlantevJust</f>
        <v>283</v>
      </c>
      <c r="JP52" s="3">
        <f>IF(Nbal!GZ52&lt;&gt;"",Nbal!GZ52,JO52)</f>
        <v>283</v>
      </c>
      <c r="JQ52" s="3">
        <f>JP52*Z52</f>
        <v>885.79</v>
      </c>
      <c r="JS52">
        <f>VLOOKUP(R52,Afgr,Data!$AR$3)+AM52*VLOOKUP(R52,Afgr,Data!$BH$3)</f>
        <v>0</v>
      </c>
      <c r="JT52" s="3">
        <f>IF(Nbal!HF52&lt;&gt;"",Nbal!HF52,JS52)</f>
        <v>0</v>
      </c>
      <c r="JU52">
        <f>JT52*Z52</f>
        <v>0</v>
      </c>
      <c r="JW52">
        <f>IP52+JL52+JP52+JT52</f>
        <v>999.15</v>
      </c>
      <c r="JY52">
        <f>IF(VLOOKUP(R52,Afgr,Data!$BY$3)&gt;0,Data!$K$259*J52,0)</f>
        <v>600</v>
      </c>
      <c r="JZ52">
        <f>IF(VLOOKUP(R52,Afgr,Data!$BZ$3)&gt;0,Data!$K$260*J52,0)</f>
        <v>0</v>
      </c>
      <c r="KA52">
        <f>(JY52+JZ52)*MaskJust</f>
        <v>600</v>
      </c>
      <c r="KB52" s="3">
        <f>IF(Nbal!HL52&lt;&gt;"",Nbal!HL52,KA52)</f>
        <v>600</v>
      </c>
      <c r="KC52" s="3">
        <f>KB52*Z52</f>
        <v>1878</v>
      </c>
      <c r="KE52">
        <f>IF(VLOOKUP(R52,Afgr,Data!$CA$3)&gt;0,VLOOKUP(R52,Afgr,Data!$CA$3)*Data!$K$261*K52,0)</f>
        <v>0</v>
      </c>
      <c r="KF52">
        <f>IF(VLOOKUP(R52,Afgr,Data!$CC$3)&gt;0,Data!$K$262*K52,0)</f>
        <v>350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350</v>
      </c>
      <c r="KM52" s="3">
        <f>IF(Nbal!HR52&lt;&gt;"",Nbal!HR52,KL52)</f>
        <v>350</v>
      </c>
      <c r="KN52" s="3">
        <f>KM52*Z52</f>
        <v>1095.5</v>
      </c>
      <c r="KP52">
        <f>IF(VLOOKUP(R52,Afgr,Data!$CJ$3)&gt;0,VLOOKUP(R52,Afgr,Data!$CJ$3)*Data!$K$268*K52,0)*MaskJust</f>
        <v>140</v>
      </c>
      <c r="KQ52" s="3">
        <f>IF(Nbal!HX52&lt;&gt;"",Nbal!HX52,KP52)</f>
        <v>140</v>
      </c>
      <c r="KR52" s="3">
        <f>KQ52*Z52</f>
        <v>438.2</v>
      </c>
      <c r="KT52">
        <f>IF(VLOOKUP(R52,Afgr,Data!$CI$3)&gt;0,VLOOKUP(R52,Afgr,Data!$CI$3)*Data!$K$269,0)*MaskJust</f>
        <v>300</v>
      </c>
      <c r="KU52" s="3">
        <f>IF(Nbal!ID52&lt;&gt;"",Nbal!ID52,KT52)</f>
        <v>300</v>
      </c>
      <c r="KV52" s="3">
        <f>KU52*Z52</f>
        <v>939</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682.94117647058818</v>
      </c>
      <c r="LE52">
        <f>IF(VLOOKUP($R52,Afgr,Data!$CK$3)&gt;0,IF(AND($S52=2,$BA52&gt;0),Data!$K$271,0),0)</f>
        <v>0</v>
      </c>
      <c r="LF52">
        <f>IF(VLOOKUP($R52,Afgr,Data!$CK$3)&gt;0,(AM52/VLOOKUP($R52,Afgr,Data!$CK$3))*VLOOKUP($R52,Afgr,Data!$CO$3)*VLOOKUP($R52,Afgr,Data!$CN$3),0)</f>
        <v>168.23529411764707</v>
      </c>
      <c r="LG52">
        <f>(LD52+LE52+LF52)*MaskJust</f>
        <v>851.17647058823525</v>
      </c>
      <c r="LH52" s="3">
        <f>IF(Nbal!IV52&lt;&gt;"",Nbal!IV52,LG52)</f>
        <v>851.17647058823525</v>
      </c>
      <c r="LI52" s="3">
        <f>LH52*Z52</f>
        <v>2664.1823529411763</v>
      </c>
      <c r="LJ52" s="3"/>
      <c r="LK52">
        <f>IF(AND($S52=1,VLOOKUP($R52,Afgr,Data!$CP$3)&gt;0),((1+$BC52/VLOOKUP($R52,Afgr,Data!$CP$3))/2)*VLOOKUP($R52,Afgr,Data!$CQ$3),0)</f>
        <v>481.25000000000006</v>
      </c>
      <c r="LL52">
        <f>IF(AND($S52=1,VLOOKUP($R52,Afgr,Data!$CP$3)&gt;0),($BC52/VLOOKUP($R52,Afgr,Data!$CP$3))*VLOOKUP($R52,Afgr,Data!$CR$3),0)</f>
        <v>166.66666666666669</v>
      </c>
      <c r="LM52">
        <f>(LK52+LL52)*MaskJust</f>
        <v>647.91666666666674</v>
      </c>
      <c r="LN52" s="3">
        <f>IF(Nbal!JB52&lt;&gt;"",Nbal!JB52,LM52)</f>
        <v>647.91666666666674</v>
      </c>
      <c r="LO52" s="3">
        <f>LN52*Z52</f>
        <v>2027.9791666666667</v>
      </c>
      <c r="LQ52">
        <f>$AM52*VLOOKUP($R52,Afgr,Data!$CS$3)*IF($V52=1,VLOOKUP($R52,Afgr,Data!$CT$3),IF($V52=2,VLOOKUP($R52,Afgr,Data!$CU$3),0))</f>
        <v>406.56000000000006</v>
      </c>
      <c r="LR52" s="3">
        <f>IF(Nbal!JK52&lt;&gt;"",Nbal!JK52,LQ52)</f>
        <v>406.56000000000006</v>
      </c>
      <c r="LS52" s="3">
        <f>LR52*Z52</f>
        <v>1272.5328000000002</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7630</v>
      </c>
      <c r="OE52">
        <f>JW52+MZ52</f>
        <v>999.15</v>
      </c>
      <c r="OF52">
        <f>OD52-OE52</f>
        <v>6630.85</v>
      </c>
      <c r="OG52">
        <f>OF52*Z52</f>
        <v>20754.5605</v>
      </c>
      <c r="OJ52">
        <f>VLOOKUP($O52,Afgr,Data!$BP$3)+VLOOKUP($P52,Efgr,Data!$AM$53)</f>
        <v>1</v>
      </c>
      <c r="OK52" s="3">
        <f>OJ52*Z52</f>
        <v>3.13</v>
      </c>
      <c r="OL52">
        <f>VLOOKUP($R52,Afgr,Data!$BP$3)+VLOOKUP($T52,Efgr,Data!$AM$53)</f>
        <v>1</v>
      </c>
      <c r="OM52" s="3">
        <f>OL52*Z52</f>
        <v>3.13</v>
      </c>
      <c r="OO52">
        <f>VLOOKUP($P52,Efgr,Data!$AN$53)</f>
        <v>1</v>
      </c>
      <c r="OP52">
        <f>VLOOKUP($O52,Afgr,Data!$BQ$3)</f>
        <v>1</v>
      </c>
      <c r="OQ52">
        <f>VLOOKUP($R52,Afgr,Data!$BR$3)</f>
        <v>1</v>
      </c>
      <c r="OR52">
        <f>OO52*OP52*OQ52</f>
        <v>1</v>
      </c>
      <c r="OS52" s="3">
        <f>OR52*Z52</f>
        <v>3.13</v>
      </c>
      <c r="OT52" s="3">
        <f>IF(Q52,1,0)*OS52</f>
        <v>0</v>
      </c>
      <c r="OV52">
        <f>VLOOKUP($T52,Efgr,Data!$AN$53)</f>
        <v>0</v>
      </c>
      <c r="OW52">
        <f>VLOOKUP($R52,Afgr,Data!$BQ$3)</f>
        <v>1</v>
      </c>
      <c r="OX52">
        <f>VLOOKUP($X52,Afgr,Data!$BR$3)</f>
        <v>0</v>
      </c>
      <c r="OY52">
        <f>OV52*OW52*OX52</f>
        <v>0</v>
      </c>
      <c r="OZ52" s="3">
        <f>OY52*Z52</f>
        <v>0</v>
      </c>
      <c r="PB52">
        <f>VLOOKUP($T52,Efgr,Data!$AO$53)</f>
        <v>0</v>
      </c>
      <c r="PC52">
        <f>VLOOKUP($O52,Afgr,Data!$BQ$3)</f>
        <v>1</v>
      </c>
      <c r="PD52">
        <f>VLOOKUP($R52,Afgr,Data!$BS$3)</f>
        <v>0</v>
      </c>
      <c r="PE52" s="3">
        <f>PB52*PC52*PD52*$Z52</f>
        <v>0</v>
      </c>
      <c r="PG52">
        <f>VLOOKUP($T52,Efgr,Data!$AO$53)</f>
        <v>0</v>
      </c>
      <c r="PH52">
        <f>VLOOKUP($R52,Afgr,Data!$BQ$3)</f>
        <v>1</v>
      </c>
      <c r="PI52">
        <f>VLOOKUP($X52,Afgr,Data!$BS$3)</f>
        <v>1</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1</v>
      </c>
      <c r="PU52" s="3">
        <f>PT52*Z52</f>
        <v>3.13</v>
      </c>
      <c r="PV52">
        <f>VLOOKUP($R52,Afgr,Data!$BT$3)</f>
        <v>1</v>
      </c>
      <c r="PW52" s="3">
        <f>PV52*Z52</f>
        <v>3.13</v>
      </c>
      <c r="PY52">
        <f>VLOOKUP($R52,Afgr,Data!$BV$3)</f>
        <v>0</v>
      </c>
      <c r="PZ52">
        <f>PY52*Z52</f>
        <v>0</v>
      </c>
      <c r="QB52">
        <f>VLOOKUP($R52,Afgr,Data!$BW$3)</f>
        <v>0</v>
      </c>
      <c r="QC52">
        <f>QB52*Z52</f>
        <v>0</v>
      </c>
      <c r="QE52">
        <f>AM52*IF(VLOOKUP($R52,Afgr,Data!$BJ$3)&gt;0,1,0)</f>
        <v>44</v>
      </c>
      <c r="QF52">
        <f>QE52*Z52</f>
        <v>137.72</v>
      </c>
      <c r="QH52">
        <f>AM52*VLOOKUP(R52,Afgr,Data!$BK$3)</f>
        <v>4158</v>
      </c>
      <c r="QI52">
        <f>Z52*QH52</f>
        <v>13014.539999999999</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14047.44</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0</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0</v>
      </c>
      <c r="RO52">
        <v>2</v>
      </c>
      <c r="RP52">
        <f>(FF52)*RO52*0.01</f>
        <v>0.54</v>
      </c>
      <c r="RQ52">
        <v>7</v>
      </c>
      <c r="RR52">
        <f>CE52*RQ52*0.01</f>
        <v>0</v>
      </c>
      <c r="RS52">
        <v>7</v>
      </c>
      <c r="RT52">
        <f>(Regn2!CF52+Regn2!CG52)*RS52*0.01</f>
        <v>6.09</v>
      </c>
      <c r="RW52">
        <f>VLOOKUP(R52,Afgr,Data!$EE$3)</f>
        <v>5</v>
      </c>
      <c r="RX52" s="3">
        <f>RP52+RR52+RT52+RV52+RW52</f>
        <v>11.629999999999999</v>
      </c>
    </row>
    <row r="54" spans="1:492" x14ac:dyDescent="0.25">
      <c r="A54" s="214" t="str">
        <f>Nbal!B54</f>
        <v>22-0</v>
      </c>
      <c r="B54">
        <v>11</v>
      </c>
      <c r="C54">
        <v>1</v>
      </c>
      <c r="D54">
        <f>IF(C54=1,VLOOKUP(B54,Jordtype,Data!$K$112),VLOOKUP(B54,Jordtype,Data!$L$112))</f>
        <v>7</v>
      </c>
      <c r="E54">
        <f>IF(C54=1,VLOOKUP(B54,Jordtype,Data!$M$112),VLOOKUP(B54,Jordtype,Data!$N$112))</f>
        <v>12</v>
      </c>
      <c r="F54">
        <f>IF(OR(B54=1,B54=3),0,IF(OR(B54=2,B54=4),1,IF(OR(B54=5,B54=6),2,3)))</f>
        <v>3</v>
      </c>
      <c r="G54">
        <f>IF(C54=1,VLOOKUP(B54,Jordtype,Data!$Q$112),VLOOKUP(B54,Jordtype,Data!$R$112))</f>
        <v>23</v>
      </c>
      <c r="H54">
        <f>IF(C54=1,VLOOKUP(B54,Jordtype,Data!$O$112),VLOOKUP(B54,Jordtype,Data!$P$112))</f>
        <v>17</v>
      </c>
      <c r="I54">
        <f>IF(B54&lt;5,0,1)</f>
        <v>1</v>
      </c>
      <c r="J54">
        <f>IF(B54&lt;5,PlojJB,1)</f>
        <v>1</v>
      </c>
      <c r="K54">
        <f>IF(B54&lt;5,SaaJB,1)</f>
        <v>1</v>
      </c>
      <c r="L54">
        <f>IF(C54=1,VLOOKUP(B54,Jordtype,Data!$S$112),VLOOKUP(B54,Jordtype,Data!$T$112))</f>
        <v>6</v>
      </c>
      <c r="M54">
        <f>IF(C54=1,VLOOKUP(B54,Jordtype,Data!$U$112),VLOOKUP(B54,Jordtype,Data!$V$112))</f>
        <v>11</v>
      </c>
      <c r="O54">
        <v>26</v>
      </c>
      <c r="P54">
        <v>1</v>
      </c>
      <c r="Q54" t="b">
        <v>0</v>
      </c>
      <c r="R54">
        <v>26</v>
      </c>
      <c r="S54">
        <v>1</v>
      </c>
      <c r="T54">
        <v>1</v>
      </c>
      <c r="U54">
        <v>1</v>
      </c>
      <c r="V54">
        <v>1</v>
      </c>
      <c r="X54">
        <v>26</v>
      </c>
      <c r="Z54">
        <f>Nbal!AG54</f>
        <v>1.48</v>
      </c>
      <c r="AA54">
        <v>4</v>
      </c>
      <c r="AB54">
        <f>VLOOKUP($R54,Afgr,G54)</f>
        <v>134</v>
      </c>
      <c r="AC54">
        <f>VLOOKUP($O54,Afgr,Data!$AI$3)*VLOOKUP(R54,Afgr,Data!$AJ$3)</f>
        <v>0</v>
      </c>
      <c r="AD54">
        <f>IF($Q54,0,VLOOKUP($P54,Efgr,(Data!$W$53+$V$6-1)))</f>
        <v>0</v>
      </c>
      <c r="AE54">
        <f>AB54-AC54-AD54</f>
        <v>134</v>
      </c>
      <c r="AF54">
        <f>AE54*Z54</f>
        <v>198.32</v>
      </c>
      <c r="AH54">
        <f>VLOOKUP(R54,Afgr,D54)</f>
        <v>3000</v>
      </c>
      <c r="AI54">
        <f>VLOOKUP(O54,Afgr,Data!$AL$3)*VLOOKUP(R54,Afgr,E54)</f>
        <v>0</v>
      </c>
      <c r="AJ54">
        <f>VLOOKUP(P54,Efgr,(Data!$Y$53+I54))</f>
        <v>0</v>
      </c>
      <c r="AK54">
        <f>AH54+AI54+AJ54</f>
        <v>3000</v>
      </c>
      <c r="AL54">
        <f>AH54+AI54+AJ54</f>
        <v>3000</v>
      </c>
      <c r="AM54" s="3">
        <f>IF(Nbal!CK54&lt;&gt;"",Nbal!CK54,AL54)</f>
        <v>3000</v>
      </c>
      <c r="AN54">
        <f>AM54*Z54</f>
        <v>4440</v>
      </c>
      <c r="AO54" t="str">
        <f>VLOOKUP(R54,Afgr,3)</f>
        <v>FE</v>
      </c>
      <c r="AP54">
        <f>IF(AO54="FE",VLOOKUP($R54,Afgr,Data!$AV$3),0)</f>
        <v>1.1599999999999999</v>
      </c>
      <c r="AR54">
        <f>VLOOKUP(R54,Afgr,4)</f>
        <v>1.2</v>
      </c>
      <c r="AS54" s="3">
        <f>IF(Nbal!CW54&lt;&gt;"",Nbal!CW54,AR54)</f>
        <v>1.2</v>
      </c>
      <c r="AT54" s="3">
        <f>AM54*AS54</f>
        <v>3600</v>
      </c>
      <c r="AU54" s="3">
        <f>AN54*AS54</f>
        <v>5328</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52</v>
      </c>
      <c r="CB54" s="2">
        <f>Nbal!DZ54</f>
        <v>0</v>
      </c>
      <c r="CC54" s="211">
        <f>Nbal!AT54+Nbal!DZ54</f>
        <v>52</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7</v>
      </c>
      <c r="CR54">
        <f>Nbal!EC54</f>
        <v>0</v>
      </c>
      <c r="CS54">
        <f>(CQ54+CR54)*Z54</f>
        <v>10.36</v>
      </c>
      <c r="CT54">
        <f>Nbal!CB54</f>
        <v>0</v>
      </c>
      <c r="CU54">
        <f>Nbal!EV54</f>
        <v>0</v>
      </c>
      <c r="CV54">
        <f>(CT54+CU54)*Z54</f>
        <v>0</v>
      </c>
      <c r="CW54">
        <f>Nbal!BA54+Nbal!CB54+Nbal!EC54+Nbal!EV54</f>
        <v>7</v>
      </c>
      <c r="CY54">
        <f>Nbal!BD54</f>
        <v>24</v>
      </c>
      <c r="CZ54">
        <f>Nbal!EF54</f>
        <v>0</v>
      </c>
      <c r="DA54">
        <f>(CY54+CZ54)*Z54</f>
        <v>35.519999999999996</v>
      </c>
      <c r="DB54">
        <f>Nbal!CE54</f>
        <v>0</v>
      </c>
      <c r="DC54">
        <f>Nbal!EY54</f>
        <v>0</v>
      </c>
      <c r="DD54">
        <f>(DB54+DC54)*Z54</f>
        <v>0</v>
      </c>
      <c r="DE54">
        <f>Nbal!BD54+Nbal!CE54+Nbal!EF54+Nbal!EY54</f>
        <v>24</v>
      </c>
      <c r="DG54">
        <f>VLOOKUP($R54,Afgr,Data!$AW$3)</f>
        <v>14</v>
      </c>
      <c r="DH54">
        <f>IF($AO54="FE",$AM54*$AP54*$DG54*0.01,$AM54*100*$DM54*0.01*$DG54*0.01)</f>
        <v>487.19999999999993</v>
      </c>
      <c r="DI54">
        <f>IF(VLOOKUP(R54,Afgr,Data!$BO$3)=1,DH54,0)*Z54</f>
        <v>0</v>
      </c>
      <c r="DJ54" s="12">
        <f>(BZ54+CC54+CJ54-AE54)*VLOOKUP($R54,Afgr,Data!$AX$3)</f>
        <v>0</v>
      </c>
      <c r="DK54">
        <f>DG54+DJ54</f>
        <v>14</v>
      </c>
      <c r="DL54">
        <f>IF(Nbal!CQ54&lt;&gt;"",Nbal!CQ54,DK54)</f>
        <v>14</v>
      </c>
      <c r="DM54">
        <f>VLOOKUP(R54,Afgr,Data!$AT$3)</f>
        <v>0</v>
      </c>
      <c r="DN54">
        <f>IF($AO54="FE",$AM54*$AP54*$DL54*0.01,$AM54*100*$DM54*0.01*DL54*0.01)</f>
        <v>487.19999999999993</v>
      </c>
      <c r="DO54">
        <f>IF(VLOOKUP(R54,Afgr,Data!$BO$3)=1,DN54,0)*Z54</f>
        <v>0</v>
      </c>
      <c r="DP54">
        <f>IF(ISERROR(DN54/VLOOKUP(R54,Afgr,Data!$AY$3)),0,DN54/VLOOKUP(R54,Afgr,Data!$AY$3))</f>
        <v>77.951999999999984</v>
      </c>
      <c r="DQ54">
        <f>DP54*Z54</f>
        <v>115.36895999999997</v>
      </c>
      <c r="DS54">
        <f>IF($AO54="FE",$AM54*$AP54*VLOOKUP($R54,Afgr,Data!$BC$3)*0.001,$AM54*100*$DM54*0.01*VLOOKUP($R54,Afgr,Data!$BC$3)*0.001)</f>
        <v>9.743999999999998</v>
      </c>
      <c r="DT54">
        <f>DS54*Z54</f>
        <v>14.421119999999997</v>
      </c>
      <c r="DV54">
        <f>IF($AO54="FE",$AM54*$AP54*VLOOKUP($R54,Afgr,Data!$BF$3)*0.001,$AM54*100*$DM54*0.01*VLOOKUP($R54,Afgr,Data!$BF$3)*0.001)</f>
        <v>62.639999999999993</v>
      </c>
      <c r="DW54">
        <f>DV54*Z54</f>
        <v>92.707199999999986</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52</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52</v>
      </c>
      <c r="FG54" s="211">
        <f>FF54*Z54</f>
        <v>76.959999999999994</v>
      </c>
      <c r="FH54" s="211">
        <f>CE54+CH54+CO54</f>
        <v>0</v>
      </c>
      <c r="FI54" s="211">
        <f>FH54*Z54</f>
        <v>0</v>
      </c>
      <c r="FJ54">
        <f>VLOOKUP($R54,Afgr,Data!$DK$3)*VLOOKUP($R54,Afgr,Data!$AT$3)*0.01*VLOOKUP($R54,Afgr,Data!$AW$3)*0.01/6.25</f>
        <v>0</v>
      </c>
      <c r="FK54">
        <f>FJ54*Z54</f>
        <v>0</v>
      </c>
      <c r="FL54" s="4">
        <f>IF(R54&gt;1,Deposition,0)</f>
        <v>15</v>
      </c>
      <c r="FM54" s="4">
        <f>FL54*Z54</f>
        <v>22.2</v>
      </c>
      <c r="FN54">
        <f>FC54</f>
        <v>0</v>
      </c>
      <c r="FO54">
        <f>FN54*Z54</f>
        <v>0</v>
      </c>
      <c r="FP54" s="211">
        <f>SUM(FF54,FH54,FJ54,FL54,FN54)</f>
        <v>67</v>
      </c>
      <c r="FQ54">
        <f>DP54+EB54+EL54</f>
        <v>77.951999999999984</v>
      </c>
      <c r="FR54" s="3">
        <f>FP54-FQ54</f>
        <v>-10.951999999999984</v>
      </c>
      <c r="FS54" s="19">
        <f>FP54*Z54</f>
        <v>99.16</v>
      </c>
      <c r="FT54" s="19">
        <f>FQ54*Z54</f>
        <v>115.36895999999997</v>
      </c>
      <c r="FU54" s="3">
        <f>FR54*Z54</f>
        <v>-16.208959999999976</v>
      </c>
      <c r="FW54">
        <f>CW54</f>
        <v>7</v>
      </c>
      <c r="FX54">
        <f>FW54*Z54</f>
        <v>10.36</v>
      </c>
      <c r="FY54">
        <f>IX54+MB54</f>
        <v>9.743999999999998</v>
      </c>
      <c r="FZ54">
        <f>FY54*Z54</f>
        <v>14.421119999999997</v>
      </c>
      <c r="GA54">
        <f>FW54-FY54</f>
        <v>-2.743999999999998</v>
      </c>
      <c r="GB54">
        <f>GA54*Z54</f>
        <v>-4.0611199999999972</v>
      </c>
      <c r="GD54">
        <f>DE54</f>
        <v>24</v>
      </c>
      <c r="GE54">
        <f>GD54*Z54</f>
        <v>35.519999999999996</v>
      </c>
      <c r="GF54">
        <f>JE54+MH54</f>
        <v>62.639999999999993</v>
      </c>
      <c r="GG54">
        <f>GF54*Z54</f>
        <v>92.707199999999986</v>
      </c>
      <c r="GH54">
        <f>GD54-GF54</f>
        <v>-38.639999999999993</v>
      </c>
      <c r="GI54">
        <f>GH54*Z54</f>
        <v>-57.18719999999999</v>
      </c>
      <c r="GK54">
        <f>AA54</f>
        <v>4</v>
      </c>
      <c r="GL54" s="211">
        <f>FF54+FH54+FN54</f>
        <v>52</v>
      </c>
      <c r="GM54" s="211" t="str">
        <f>IF(R54=1,"",IF(GK54=1,GL54,""))</f>
        <v/>
      </c>
      <c r="GN54" s="211" t="str">
        <f>IF(R54=1,"",IF(GK54=2,GL54,""))</f>
        <v/>
      </c>
      <c r="GO54" s="211" t="str">
        <f>IF(R54=1,"",IF(GK54=3,GL54,""))</f>
        <v/>
      </c>
      <c r="GP54" s="211">
        <f>IF(R54=1,"",IF(GK54=4,GL54,""))</f>
        <v>52</v>
      </c>
      <c r="GQ54" s="149">
        <f>IF(OR(R54=1,VLOOKUP(R54,Afgr,Data!$BV$3)=1,VLOOKUP(R54,Afgr,Data!$BW$3)=1),0,IF(GK54=1,Nniveau1,IF(GK54=2,Nniveau2,IF(GK54=3,Nniveau3,IF(GK54=4,Nniveau4,GL54)))))</f>
        <v>46.222222222222221</v>
      </c>
      <c r="GR54" s="241">
        <v>0.32550000000000001</v>
      </c>
      <c r="GS54" s="6">
        <v>0</v>
      </c>
      <c r="GT54" s="149">
        <f>CC54+CM54</f>
        <v>52</v>
      </c>
      <c r="GU54" s="6">
        <f>$FN54</f>
        <v>0</v>
      </c>
      <c r="GV54" s="241">
        <v>0.25280000000000002</v>
      </c>
      <c r="GW54">
        <f>CO54</f>
        <v>0</v>
      </c>
      <c r="GX54" s="241">
        <v>0.376</v>
      </c>
      <c r="GY54" s="149">
        <f>CD54+CN54</f>
        <v>0</v>
      </c>
      <c r="GZ54" s="241">
        <f>IF(B54&gt;3,0.3539,1.0749)</f>
        <v>0.35389999999999999</v>
      </c>
      <c r="HA54" s="11">
        <f>$FQ54</f>
        <v>77.951999999999984</v>
      </c>
      <c r="HB54" s="241">
        <v>0.19359999999999999</v>
      </c>
      <c r="HC54" s="241">
        <f>VLOOKUP($R54,Afgr,Data!$DM$3)</f>
        <v>7</v>
      </c>
      <c r="HD54" s="24">
        <f>IF($HC54&gt;1,0,(VLOOKUP($X54,Afgr,Data!$DP$3)+IF(VLOOKUP($X54,Afgr,Data!$DP$3)=0,VLOOKUP($T54,Efgr,Data!$BI$53,0))))+IF(AND($HC54=7,VLOOKUP($X54,Afgr,Data!$DQ$3)=-2),-2,0)+IF(AND($HC54=6,VLOOKUP($T54,Efgr,Data!$BI$53)=2),8,0)</f>
        <v>0</v>
      </c>
      <c r="HE54" s="6">
        <f>VLOOKUP(SUM(HC54:HD54),Nlesafgr,3)</f>
        <v>-165.7</v>
      </c>
      <c r="HF54" s="7">
        <f>VLOOKUP($O54,Afgr,Data!$DN$3)</f>
        <v>4</v>
      </c>
      <c r="HG54" s="24">
        <f>IF(HF54&gt;1,0,VLOOKUP($R54,Afgr,Data!$DO$3)+IF(VLOOKUP($R54,Afgr,Data!$DO$3)=1,0,VLOOKUP($P54,Efgr,Data!$BJ$53)))</f>
        <v>0</v>
      </c>
      <c r="HH54" s="6">
        <f>VLOOKUP(SUM(HF54:HG54),Nlesforfrugt,3)</f>
        <v>34.700000000000003</v>
      </c>
      <c r="HI54" s="241">
        <f>GR54*GQ54+GV54*(GT54+GU54)+GX54*GW54+GZ54*GY54-HB54*HA54+HE54+HH54</f>
        <v>-117.90057386666665</v>
      </c>
      <c r="HJ54" s="241">
        <f>Nlesafskaering</f>
        <v>59.6</v>
      </c>
      <c r="HK54" s="241">
        <f>Teknologi1</f>
        <v>2455</v>
      </c>
      <c r="HL54" s="6">
        <v>2001</v>
      </c>
      <c r="HM54" s="241">
        <f>Teknologi2</f>
        <v>1962.2</v>
      </c>
      <c r="HN54" s="241">
        <f>Tandel</f>
        <v>0.54659999999999997</v>
      </c>
      <c r="HO54" s="241">
        <f>IF(OR(HI54&gt;0,HI54=0),HJ54+HK54/(HL54-HM54),HJ54+HK54/(HL54-HM54)+HN54*HI54)</f>
        <v>58.428742200768752</v>
      </c>
      <c r="HP54" s="241">
        <f>IF(HI54&gt;0,HI54,0.001)</f>
        <v>1E-3</v>
      </c>
      <c r="HQ54" s="241">
        <v>1.5020000000000001E-3</v>
      </c>
      <c r="HR54" s="24">
        <f>IF(R54=1,0,VLOOKUP(PostnrNbal,AfstromData,VLOOKUP($R54,Afgr,Data!$DL$3)+IF(Jordtype1&lt;7,Jordtype1,6),FALSE)-VLOOKUP(T54,Efgr,Data!$AA$53))</f>
        <v>272.32333333333298</v>
      </c>
      <c r="HS54" s="24">
        <f>IF(Nbal!GA54&lt;&gt;"",Nbal!GA54,Regn2!HR54)</f>
        <v>272.32333333333298</v>
      </c>
      <c r="HT54" s="241">
        <v>5.5400000000000002E-4</v>
      </c>
      <c r="HU54" s="24">
        <f>IF(R54=1,0,VLOOKUP(PostnrNbal,AfstromData,VLOOKUP($O54,Afgr,Data!$DL$3)+IF(B54&lt;7,B54,6),FALSE)-VLOOKUP(P54,Efgr,Data!$AA$53))</f>
        <v>272.32333333333298</v>
      </c>
      <c r="HV54" s="24">
        <f>IF(Nbal!FU54&lt;&gt;"",Nbal!FU54,Regn2!HU54)</f>
        <v>272.32333333333298</v>
      </c>
      <c r="HW54" s="241">
        <v>0.10639999999999999</v>
      </c>
      <c r="HX54" s="6">
        <f>VLOOKUP(B54,Jordtype,Data!$W$112)</f>
        <v>26</v>
      </c>
      <c r="HY54" s="241">
        <v>3.2500000000000001E-2</v>
      </c>
      <c r="HZ54" s="6">
        <f>VLOOKUP(B54,Jordtype,Data!$X$112)</f>
        <v>5</v>
      </c>
      <c r="IA54" s="241">
        <v>1.2453000000000001</v>
      </c>
      <c r="IB54" s="241">
        <f>IF(VLOOKUP(T54,Efgr,Data!$AO$53)=1,MlafgrNUdvask,0)</f>
        <v>0</v>
      </c>
      <c r="IC54" s="20">
        <f>IF(ISERROR((HO54+POWER(HP54,1.2))*(1-EXP(-HQ54*HS54))*EXP(-HT54*HV54)*EXP(-HW54*HX54)*EXP(-HY54*HZ54)*IA54),0,(HO54+POWER(HP54,1.2))*(1-EXP(-HQ54*HS54))*EXP(-HT54*HV54)*EXP(-HW54*HX54)*EXP(-HY54*HZ54)*IA54+IB54)</f>
        <v>1.1228840974698513</v>
      </c>
      <c r="ID54">
        <f>IC54*Z54</f>
        <v>1.6618684642553798</v>
      </c>
      <c r="IE54">
        <f>IF(Nbal!GF54&lt;&gt;"",Nbal!GF54,RetentionNbal)</f>
        <v>65</v>
      </c>
      <c r="IF54">
        <f>IC54*(100-IE54)*0.01</f>
        <v>0.393009434114448</v>
      </c>
      <c r="IG54">
        <f>IF54*Z54</f>
        <v>0.58165396248938306</v>
      </c>
      <c r="IH54" s="2">
        <f>HS54*10000</f>
        <v>2723233.3333333298</v>
      </c>
      <c r="II54" s="2">
        <f>IH54*Z54</f>
        <v>4030385.3333333279</v>
      </c>
      <c r="IJ54">
        <f>IF(ISERROR(IC54*1000*1000/IH54),0,IC54*1000*1000/IH54)</f>
        <v>0.41233488284876529</v>
      </c>
      <c r="IL54">
        <f>AT54+AX54+BK54+BU54</f>
        <v>3600</v>
      </c>
      <c r="IO54">
        <f>VLOOKUP(R54,Afgr,Data!$AP$3)*UdsaedJust</f>
        <v>0</v>
      </c>
      <c r="IP54" s="3">
        <f>IF(Nbal!GN54&lt;&gt;"",Nbal!GN54,IO54)</f>
        <v>0</v>
      </c>
      <c r="IQ54" s="3">
        <f>IP54*Z54</f>
        <v>0</v>
      </c>
      <c r="IS54" s="3">
        <f>IF(HdgVaerdiNbal=1,(BZ54+CA54)*Npris,(BZ54+CA54+CJ54+CK54)*Npris)</f>
        <v>439.4</v>
      </c>
      <c r="IT54" s="3">
        <f>IS54*Z54</f>
        <v>650.31200000000001</v>
      </c>
      <c r="IV54">
        <f>VLOOKUP($R54,Afgr,Data!$BA$3)</f>
        <v>0</v>
      </c>
      <c r="IW54">
        <f>VLOOKUP($R54,Afgr,Data!$BB$3)</f>
        <v>0</v>
      </c>
      <c r="IX54">
        <f>$DS54+$EE54</f>
        <v>9.743999999999998</v>
      </c>
      <c r="IY54">
        <f>CT54</f>
        <v>0</v>
      </c>
      <c r="IZ54">
        <f>CQ54</f>
        <v>7</v>
      </c>
      <c r="JA54" s="3">
        <f>IF(HdgVaerdiNbal=1,(IZ54)*Ppris,(IY54+IZ54)*Ppris)</f>
        <v>97.3</v>
      </c>
      <c r="JB54" s="3">
        <f>JA54*Z54</f>
        <v>144.00399999999999</v>
      </c>
      <c r="JD54">
        <f>IF(AND(R54&gt;1,OR(Jordtype1=1,Jordtype1=3,Markvand1=2)),Kudvask,0)</f>
        <v>0</v>
      </c>
      <c r="JE54">
        <f>$DV54+$EH54</f>
        <v>62.639999999999993</v>
      </c>
      <c r="JF54">
        <f>DB54</f>
        <v>0</v>
      </c>
      <c r="JG54">
        <f>CY54</f>
        <v>24</v>
      </c>
      <c r="JH54" s="3">
        <f>IF(HdgVaerdiNbal=1,JG54*Kpris,(JF54+JG54)*Kpris)</f>
        <v>156</v>
      </c>
      <c r="JI54" s="3">
        <f>JH54*Z54</f>
        <v>230.88</v>
      </c>
      <c r="JK54">
        <f>IS54+JA54+JH54</f>
        <v>692.69999999999993</v>
      </c>
      <c r="JL54" s="3">
        <f>IF(Nbal!GT54&lt;&gt;"",Nbal!GT54,$JK54)</f>
        <v>692.69999999999993</v>
      </c>
      <c r="JM54" s="3">
        <f>JL54*Z54</f>
        <v>1025.1959999999999</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692.69999999999993</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280</v>
      </c>
      <c r="KQ54" s="3">
        <f>IF(Nbal!HX54&lt;&gt;"",Nbal!HX54,KP54)</f>
        <v>280</v>
      </c>
      <c r="KR54" s="3">
        <f>KQ54*Z54</f>
        <v>414.4</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3600</v>
      </c>
      <c r="OE54">
        <f>JW54+MZ54</f>
        <v>692.69999999999993</v>
      </c>
      <c r="OF54">
        <f>OD54-OE54</f>
        <v>2907.3</v>
      </c>
      <c r="OG54">
        <f>OF54*Z54</f>
        <v>4302.8040000000001</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0</v>
      </c>
      <c r="OR54">
        <f>OO54*OP54*OQ54</f>
        <v>0</v>
      </c>
      <c r="OS54" s="3">
        <f>OR54*Z54</f>
        <v>0</v>
      </c>
      <c r="OT54" s="3">
        <f>IF(Q54,1,0)*OS54</f>
        <v>0</v>
      </c>
      <c r="OV54">
        <f>VLOOKUP($T54,Efgr,Data!$AN$53)</f>
        <v>0</v>
      </c>
      <c r="OW54">
        <f>VLOOKUP($R54,Afgr,Data!$BQ$3)</f>
        <v>0</v>
      </c>
      <c r="OX54">
        <f>VLOOKUP($X54,Afgr,Data!$BR$3)</f>
        <v>0</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1</v>
      </c>
      <c r="PR54">
        <f>IF(PQ54&gt;0,Z54,0)</f>
        <v>1.48</v>
      </c>
      <c r="PT54">
        <f>VLOOKUP($O54,Afgr,Data!$BT$3)</f>
        <v>1</v>
      </c>
      <c r="PU54" s="3">
        <f>PT54*Z54</f>
        <v>1.48</v>
      </c>
      <c r="PV54">
        <f>VLOOKUP($R54,Afgr,Data!$BT$3)</f>
        <v>1</v>
      </c>
      <c r="PW54" s="3">
        <f>PV54*Z54</f>
        <v>1.48</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3000</v>
      </c>
      <c r="QK54">
        <f>QJ54*Z54</f>
        <v>4440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0</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0</v>
      </c>
      <c r="RO54">
        <v>2</v>
      </c>
      <c r="RP54">
        <f>(FF54)*RO54*0.01</f>
        <v>1.04</v>
      </c>
      <c r="RQ54">
        <v>7</v>
      </c>
      <c r="RR54">
        <f>CE54*RQ54*0.01</f>
        <v>0</v>
      </c>
      <c r="RS54">
        <v>7</v>
      </c>
      <c r="RT54">
        <f>(Regn2!CF54+Regn2!CG54)*RS54*0.01</f>
        <v>0</v>
      </c>
      <c r="RW54">
        <f>VLOOKUP(R54,Afgr,Data!$EE$3)</f>
        <v>0</v>
      </c>
      <c r="RX54" s="3">
        <f>RP54+RR54+RT54+RV54+RW54</f>
        <v>1.04</v>
      </c>
    </row>
    <row r="56" spans="1:492" x14ac:dyDescent="0.25">
      <c r="A56" s="214" t="str">
        <f>Nbal!B56</f>
        <v>22-1</v>
      </c>
      <c r="B56">
        <v>11</v>
      </c>
      <c r="C56">
        <v>1</v>
      </c>
      <c r="D56">
        <f>IF(C56=1,VLOOKUP(B56,Jordtype,Data!$K$112),VLOOKUP(B56,Jordtype,Data!$L$112))</f>
        <v>7</v>
      </c>
      <c r="E56">
        <f>IF(C56=1,VLOOKUP(B56,Jordtype,Data!$M$112),VLOOKUP(B56,Jordtype,Data!$N$112))</f>
        <v>12</v>
      </c>
      <c r="F56">
        <f>IF(OR(B56=1,B56=3),0,IF(OR(B56=2,B56=4),1,IF(OR(B56=5,B56=6),2,3)))</f>
        <v>3</v>
      </c>
      <c r="G56">
        <f>IF(C56=1,VLOOKUP(B56,Jordtype,Data!$Q$112),VLOOKUP(B56,Jordtype,Data!$R$112))</f>
        <v>23</v>
      </c>
      <c r="H56">
        <f>IF(C56=1,VLOOKUP(B56,Jordtype,Data!$O$112),VLOOKUP(B56,Jordtype,Data!$P$112))</f>
        <v>17</v>
      </c>
      <c r="I56">
        <f>IF(B56&lt;5,0,1)</f>
        <v>1</v>
      </c>
      <c r="J56">
        <f>IF(B56&lt;5,PlojJB,1)</f>
        <v>1</v>
      </c>
      <c r="K56">
        <f>IF(B56&lt;5,SaaJB,1)</f>
        <v>1</v>
      </c>
      <c r="L56">
        <f>IF(C56=1,VLOOKUP(B56,Jordtype,Data!$S$112),VLOOKUP(B56,Jordtype,Data!$T$112))</f>
        <v>6</v>
      </c>
      <c r="M56">
        <f>IF(C56=1,VLOOKUP(B56,Jordtype,Data!$U$112),VLOOKUP(B56,Jordtype,Data!$V$112))</f>
        <v>11</v>
      </c>
      <c r="O56">
        <v>26</v>
      </c>
      <c r="P56">
        <v>1</v>
      </c>
      <c r="Q56" t="b">
        <v>0</v>
      </c>
      <c r="R56">
        <v>26</v>
      </c>
      <c r="S56">
        <v>1</v>
      </c>
      <c r="T56">
        <v>1</v>
      </c>
      <c r="U56">
        <v>1</v>
      </c>
      <c r="V56">
        <v>1</v>
      </c>
      <c r="X56">
        <v>26</v>
      </c>
      <c r="Z56">
        <f>Nbal!AG56</f>
        <v>1.97</v>
      </c>
      <c r="AA56">
        <v>4</v>
      </c>
      <c r="AB56">
        <f>VLOOKUP($R56,Afgr,G56)</f>
        <v>134</v>
      </c>
      <c r="AC56">
        <f>VLOOKUP($O56,Afgr,Data!$AI$3)*VLOOKUP(R56,Afgr,Data!$AJ$3)</f>
        <v>0</v>
      </c>
      <c r="AD56">
        <f>IF($Q56,0,VLOOKUP($P56,Efgr,(Data!$W$53+$V$6-1)))</f>
        <v>0</v>
      </c>
      <c r="AE56">
        <f>AB56-AC56-AD56</f>
        <v>134</v>
      </c>
      <c r="AF56">
        <f>AE56*Z56</f>
        <v>263.98</v>
      </c>
      <c r="AH56">
        <f>VLOOKUP(R56,Afgr,D56)</f>
        <v>3000</v>
      </c>
      <c r="AI56">
        <f>VLOOKUP(O56,Afgr,Data!$AL$3)*VLOOKUP(R56,Afgr,E56)</f>
        <v>0</v>
      </c>
      <c r="AJ56">
        <f>VLOOKUP(P56,Efgr,(Data!$Y$53+I56))</f>
        <v>0</v>
      </c>
      <c r="AK56">
        <f>AH56+AI56+AJ56</f>
        <v>3000</v>
      </c>
      <c r="AL56">
        <f>AH56+AI56+AJ56</f>
        <v>3000</v>
      </c>
      <c r="AM56" s="3">
        <f>IF(Nbal!CK56&lt;&gt;"",Nbal!CK56,AL56)</f>
        <v>3000</v>
      </c>
      <c r="AN56">
        <f>AM56*Z56</f>
        <v>5910</v>
      </c>
      <c r="AO56" t="str">
        <f>VLOOKUP(R56,Afgr,3)</f>
        <v>FE</v>
      </c>
      <c r="AP56">
        <f>IF(AO56="FE",VLOOKUP($R56,Afgr,Data!$AV$3),0)</f>
        <v>1.1599999999999999</v>
      </c>
      <c r="AR56">
        <f>VLOOKUP(R56,Afgr,4)</f>
        <v>1.2</v>
      </c>
      <c r="AS56" s="3">
        <f>IF(Nbal!CW56&lt;&gt;"",Nbal!CW56,AR56)</f>
        <v>1.2</v>
      </c>
      <c r="AT56" s="3">
        <f>AM56*AS56</f>
        <v>3600</v>
      </c>
      <c r="AU56" s="3">
        <f>AN56*AS56</f>
        <v>7092</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52</v>
      </c>
      <c r="CB56" s="2">
        <f>Nbal!DZ56</f>
        <v>0</v>
      </c>
      <c r="CC56" s="211">
        <f>Nbal!AT56+Nbal!DZ56</f>
        <v>52</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7</v>
      </c>
      <c r="CR56">
        <f>Nbal!EC56</f>
        <v>0</v>
      </c>
      <c r="CS56">
        <f>(CQ56+CR56)*Z56</f>
        <v>13.79</v>
      </c>
      <c r="CT56">
        <f>Nbal!CB56</f>
        <v>0</v>
      </c>
      <c r="CU56">
        <f>Nbal!EV56</f>
        <v>0</v>
      </c>
      <c r="CV56">
        <f>(CT56+CU56)*Z56</f>
        <v>0</v>
      </c>
      <c r="CW56">
        <f>Nbal!BA56+Nbal!CB56+Nbal!EC56+Nbal!EV56</f>
        <v>7</v>
      </c>
      <c r="CY56">
        <f>Nbal!BD56</f>
        <v>24</v>
      </c>
      <c r="CZ56">
        <f>Nbal!EF56</f>
        <v>0</v>
      </c>
      <c r="DA56">
        <f>(CY56+CZ56)*Z56</f>
        <v>47.28</v>
      </c>
      <c r="DB56">
        <f>Nbal!CE56</f>
        <v>0</v>
      </c>
      <c r="DC56">
        <f>Nbal!EY56</f>
        <v>0</v>
      </c>
      <c r="DD56">
        <f>(DB56+DC56)*Z56</f>
        <v>0</v>
      </c>
      <c r="DE56">
        <f>Nbal!BD56+Nbal!CE56+Nbal!EF56+Nbal!EY56</f>
        <v>24</v>
      </c>
      <c r="DG56">
        <f>VLOOKUP($R56,Afgr,Data!$AW$3)</f>
        <v>14</v>
      </c>
      <c r="DH56">
        <f>IF($AO56="FE",$AM56*$AP56*$DG56*0.01,$AM56*100*$DM56*0.01*$DG56*0.01)</f>
        <v>487.19999999999993</v>
      </c>
      <c r="DI56">
        <f>IF(VLOOKUP(R56,Afgr,Data!$BO$3)=1,DH56,0)*Z56</f>
        <v>0</v>
      </c>
      <c r="DJ56" s="12">
        <f>(BZ56+CC56+CJ56-AE56)*VLOOKUP($R56,Afgr,Data!$AX$3)</f>
        <v>0</v>
      </c>
      <c r="DK56">
        <f>DG56+DJ56</f>
        <v>14</v>
      </c>
      <c r="DL56">
        <f>IF(Nbal!CQ56&lt;&gt;"",Nbal!CQ56,DK56)</f>
        <v>14</v>
      </c>
      <c r="DM56">
        <f>VLOOKUP(R56,Afgr,Data!$AT$3)</f>
        <v>0</v>
      </c>
      <c r="DN56">
        <f>IF($AO56="FE",$AM56*$AP56*$DL56*0.01,$AM56*100*$DM56*0.01*DL56*0.01)</f>
        <v>487.19999999999993</v>
      </c>
      <c r="DO56">
        <f>IF(VLOOKUP(R56,Afgr,Data!$BO$3)=1,DN56,0)*Z56</f>
        <v>0</v>
      </c>
      <c r="DP56">
        <f>IF(ISERROR(DN56/VLOOKUP(R56,Afgr,Data!$AY$3)),0,DN56/VLOOKUP(R56,Afgr,Data!$AY$3))</f>
        <v>77.951999999999984</v>
      </c>
      <c r="DQ56">
        <f>DP56*Z56</f>
        <v>153.56543999999997</v>
      </c>
      <c r="DS56">
        <f>IF($AO56="FE",$AM56*$AP56*VLOOKUP($R56,Afgr,Data!$BC$3)*0.001,$AM56*100*$DM56*0.01*VLOOKUP($R56,Afgr,Data!$BC$3)*0.001)</f>
        <v>9.743999999999998</v>
      </c>
      <c r="DT56">
        <f>DS56*Z56</f>
        <v>19.195679999999996</v>
      </c>
      <c r="DV56">
        <f>IF($AO56="FE",$AM56*$AP56*VLOOKUP($R56,Afgr,Data!$BF$3)*0.001,$AM56*100*$DM56*0.01*VLOOKUP($R56,Afgr,Data!$BF$3)*0.001)</f>
        <v>62.639999999999993</v>
      </c>
      <c r="DW56">
        <f>DV56*Z56</f>
        <v>123.40079999999999</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52</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52</v>
      </c>
      <c r="FG56" s="211">
        <f>FF56*Z56</f>
        <v>102.44</v>
      </c>
      <c r="FH56" s="211">
        <f>CE56+CH56+CO56</f>
        <v>0</v>
      </c>
      <c r="FI56" s="211">
        <f>FH56*Z56</f>
        <v>0</v>
      </c>
      <c r="FJ56">
        <f>VLOOKUP($R56,Afgr,Data!$DK$3)*VLOOKUP($R56,Afgr,Data!$AT$3)*0.01*VLOOKUP($R56,Afgr,Data!$AW$3)*0.01/6.25</f>
        <v>0</v>
      </c>
      <c r="FK56">
        <f>FJ56*Z56</f>
        <v>0</v>
      </c>
      <c r="FL56" s="4">
        <f>IF(R56&gt;1,Deposition,0)</f>
        <v>15</v>
      </c>
      <c r="FM56" s="4">
        <f>FL56*Z56</f>
        <v>29.55</v>
      </c>
      <c r="FN56">
        <f>FC56</f>
        <v>0</v>
      </c>
      <c r="FO56">
        <f>FN56*Z56</f>
        <v>0</v>
      </c>
      <c r="FP56" s="211">
        <f>SUM(FF56,FH56,FJ56,FL56,FN56)</f>
        <v>67</v>
      </c>
      <c r="FQ56">
        <f>DP56+EB56+EL56</f>
        <v>77.951999999999984</v>
      </c>
      <c r="FR56" s="3">
        <f>FP56-FQ56</f>
        <v>-10.951999999999984</v>
      </c>
      <c r="FS56" s="19">
        <f>FP56*Z56</f>
        <v>131.99</v>
      </c>
      <c r="FT56" s="19">
        <f>FQ56*Z56</f>
        <v>153.56543999999997</v>
      </c>
      <c r="FU56" s="3">
        <f>FR56*Z56</f>
        <v>-21.575439999999968</v>
      </c>
      <c r="FW56">
        <f>CW56</f>
        <v>7</v>
      </c>
      <c r="FX56">
        <f>FW56*Z56</f>
        <v>13.79</v>
      </c>
      <c r="FY56">
        <f>IX56+MB56</f>
        <v>9.743999999999998</v>
      </c>
      <c r="FZ56">
        <f>FY56*Z56</f>
        <v>19.195679999999996</v>
      </c>
      <c r="GA56">
        <f>FW56-FY56</f>
        <v>-2.743999999999998</v>
      </c>
      <c r="GB56">
        <f>GA56*Z56</f>
        <v>-5.4056799999999958</v>
      </c>
      <c r="GD56">
        <f>DE56</f>
        <v>24</v>
      </c>
      <c r="GE56">
        <f>GD56*Z56</f>
        <v>47.28</v>
      </c>
      <c r="GF56">
        <f>JE56+MH56</f>
        <v>62.639999999999993</v>
      </c>
      <c r="GG56">
        <f>GF56*Z56</f>
        <v>123.40079999999999</v>
      </c>
      <c r="GH56">
        <f>GD56-GF56</f>
        <v>-38.639999999999993</v>
      </c>
      <c r="GI56">
        <f>GH56*Z56</f>
        <v>-76.120799999999988</v>
      </c>
      <c r="GK56">
        <f>AA56</f>
        <v>4</v>
      </c>
      <c r="GL56" s="211">
        <f>FF56+FH56+FN56</f>
        <v>52</v>
      </c>
      <c r="GM56" s="211" t="str">
        <f>IF(R56=1,"",IF(GK56=1,GL56,""))</f>
        <v/>
      </c>
      <c r="GN56" s="211" t="str">
        <f>IF(R56=1,"",IF(GK56=2,GL56,""))</f>
        <v/>
      </c>
      <c r="GO56" s="211" t="str">
        <f>IF(R56=1,"",IF(GK56=3,GL56,""))</f>
        <v/>
      </c>
      <c r="GP56" s="211">
        <f>IF(R56=1,"",IF(GK56=4,GL56,""))</f>
        <v>52</v>
      </c>
      <c r="GQ56" s="149">
        <f>IF(OR(R56=1,VLOOKUP(R56,Afgr,Data!$BV$3)=1,VLOOKUP(R56,Afgr,Data!$BW$3)=1),0,IF(GK56=1,Nniveau1,IF(GK56=2,Nniveau2,IF(GK56=3,Nniveau3,IF(GK56=4,Nniveau4,GL56)))))</f>
        <v>46.222222222222221</v>
      </c>
      <c r="GR56" s="241">
        <v>0.32550000000000001</v>
      </c>
      <c r="GS56" s="6">
        <v>0</v>
      </c>
      <c r="GT56" s="149">
        <f>CC56+CM56</f>
        <v>52</v>
      </c>
      <c r="GU56" s="6">
        <f>$FN56</f>
        <v>0</v>
      </c>
      <c r="GV56" s="241">
        <v>0.25280000000000002</v>
      </c>
      <c r="GW56">
        <f>CO56</f>
        <v>0</v>
      </c>
      <c r="GX56" s="241">
        <v>0.376</v>
      </c>
      <c r="GY56" s="149">
        <f>CD56+CN56</f>
        <v>0</v>
      </c>
      <c r="GZ56" s="241">
        <f>IF(B56&gt;3,0.3539,1.0749)</f>
        <v>0.35389999999999999</v>
      </c>
      <c r="HA56" s="11">
        <f>$FQ56</f>
        <v>77.951999999999984</v>
      </c>
      <c r="HB56" s="241">
        <v>0.19359999999999999</v>
      </c>
      <c r="HC56" s="241">
        <f>VLOOKUP($R56,Afgr,Data!$DM$3)</f>
        <v>7</v>
      </c>
      <c r="HD56" s="24">
        <f>IF($HC56&gt;1,0,(VLOOKUP($X56,Afgr,Data!$DP$3)+IF(VLOOKUP($X56,Afgr,Data!$DP$3)=0,VLOOKUP($T56,Efgr,Data!$BI$53,0))))+IF(AND($HC56=7,VLOOKUP($X56,Afgr,Data!$DQ$3)=-2),-2,0)+IF(AND($HC56=6,VLOOKUP($T56,Efgr,Data!$BI$53)=2),8,0)</f>
        <v>0</v>
      </c>
      <c r="HE56" s="6">
        <f>VLOOKUP(SUM(HC56:HD56),Nlesafgr,3)</f>
        <v>-165.7</v>
      </c>
      <c r="HF56" s="7">
        <f>VLOOKUP($O56,Afgr,Data!$DN$3)</f>
        <v>4</v>
      </c>
      <c r="HG56" s="24">
        <f>IF(HF56&gt;1,0,VLOOKUP($R56,Afgr,Data!$DO$3)+IF(VLOOKUP($R56,Afgr,Data!$DO$3)=1,0,VLOOKUP($P56,Efgr,Data!$BJ$53)))</f>
        <v>0</v>
      </c>
      <c r="HH56" s="6">
        <f>VLOOKUP(SUM(HF56:HG56),Nlesforfrugt,3)</f>
        <v>34.700000000000003</v>
      </c>
      <c r="HI56" s="241">
        <f>GR56*GQ56+GV56*(GT56+GU56)+GX56*GW56+GZ56*GY56-HB56*HA56+HE56+HH56</f>
        <v>-117.90057386666665</v>
      </c>
      <c r="HJ56" s="241">
        <f>Nlesafskaering</f>
        <v>59.6</v>
      </c>
      <c r="HK56" s="241">
        <f>Teknologi1</f>
        <v>2455</v>
      </c>
      <c r="HL56" s="6">
        <v>2001</v>
      </c>
      <c r="HM56" s="241">
        <f>Teknologi2</f>
        <v>1962.2</v>
      </c>
      <c r="HN56" s="241">
        <f>Tandel</f>
        <v>0.54659999999999997</v>
      </c>
      <c r="HO56" s="241">
        <f>IF(OR(HI56&gt;0,HI56=0),HJ56+HK56/(HL56-HM56),HJ56+HK56/(HL56-HM56)+HN56*HI56)</f>
        <v>58.428742200768752</v>
      </c>
      <c r="HP56" s="241">
        <f>IF(HI56&gt;0,HI56,0.001)</f>
        <v>1E-3</v>
      </c>
      <c r="HQ56" s="241">
        <v>1.5020000000000001E-3</v>
      </c>
      <c r="HR56" s="24">
        <f>IF(R56=1,0,VLOOKUP(PostnrNbal,AfstromData,VLOOKUP($R56,Afgr,Data!$DL$3)+IF(Jordtype1&lt;7,Jordtype1,6),FALSE)-VLOOKUP(T56,Efgr,Data!$AA$53))</f>
        <v>272.32333333333298</v>
      </c>
      <c r="HS56" s="24">
        <f>IF(Nbal!GA56&lt;&gt;"",Nbal!GA56,Regn2!HR56)</f>
        <v>272.32333333333298</v>
      </c>
      <c r="HT56" s="241">
        <v>5.5400000000000002E-4</v>
      </c>
      <c r="HU56" s="24">
        <f>IF(R56=1,0,VLOOKUP(PostnrNbal,AfstromData,VLOOKUP($O56,Afgr,Data!$DL$3)+IF(B56&lt;7,B56,6),FALSE)-VLOOKUP(P56,Efgr,Data!$AA$53))</f>
        <v>272.32333333333298</v>
      </c>
      <c r="HV56" s="24">
        <f>IF(Nbal!FU56&lt;&gt;"",Nbal!FU56,Regn2!HU56)</f>
        <v>272.32333333333298</v>
      </c>
      <c r="HW56" s="241">
        <v>0.10639999999999999</v>
      </c>
      <c r="HX56" s="6">
        <f>VLOOKUP(B56,Jordtype,Data!$W$112)</f>
        <v>26</v>
      </c>
      <c r="HY56" s="241">
        <v>3.2500000000000001E-2</v>
      </c>
      <c r="HZ56" s="6">
        <f>VLOOKUP(B56,Jordtype,Data!$X$112)</f>
        <v>5</v>
      </c>
      <c r="IA56" s="241">
        <v>1.2453000000000001</v>
      </c>
      <c r="IB56" s="241">
        <f>IF(VLOOKUP(T56,Efgr,Data!$AO$53)=1,MlafgrNUdvask,0)</f>
        <v>0</v>
      </c>
      <c r="IC56" s="20">
        <f>IF(ISERROR((HO56+POWER(HP56,1.2))*(1-EXP(-HQ56*HS56))*EXP(-HT56*HV56)*EXP(-HW56*HX56)*EXP(-HY56*HZ56)*IA56),0,(HO56+POWER(HP56,1.2))*(1-EXP(-HQ56*HS56))*EXP(-HT56*HV56)*EXP(-HW56*HX56)*EXP(-HY56*HZ56)*IA56+IB56)</f>
        <v>1.1228840974698513</v>
      </c>
      <c r="ID56">
        <f>IC56*Z56</f>
        <v>2.2120816720156071</v>
      </c>
      <c r="IE56">
        <f>IF(Nbal!GF56&lt;&gt;"",Nbal!GF56,RetentionNbal)</f>
        <v>65</v>
      </c>
      <c r="IF56">
        <f>IC56*(100-IE56)*0.01</f>
        <v>0.393009434114448</v>
      </c>
      <c r="IG56">
        <f>IF56*Z56</f>
        <v>0.77422858520546256</v>
      </c>
      <c r="IH56" s="2">
        <f>HS56*10000</f>
        <v>2723233.3333333298</v>
      </c>
      <c r="II56" s="2">
        <f>IH56*Z56</f>
        <v>5364769.6666666595</v>
      </c>
      <c r="IJ56">
        <f>IF(ISERROR(IC56*1000*1000/IH56),0,IC56*1000*1000/IH56)</f>
        <v>0.41233488284876529</v>
      </c>
      <c r="IL56">
        <f>AT56+AX56+BK56+BU56</f>
        <v>3600</v>
      </c>
      <c r="IO56">
        <f>VLOOKUP(R56,Afgr,Data!$AP$3)*UdsaedJust</f>
        <v>0</v>
      </c>
      <c r="IP56" s="3">
        <f>IF(Nbal!GN56&lt;&gt;"",Nbal!GN56,IO56)</f>
        <v>0</v>
      </c>
      <c r="IQ56" s="3">
        <f>IP56*Z56</f>
        <v>0</v>
      </c>
      <c r="IS56" s="3">
        <f>IF(HdgVaerdiNbal=1,(BZ56+CA56)*Npris,(BZ56+CA56+CJ56+CK56)*Npris)</f>
        <v>439.4</v>
      </c>
      <c r="IT56" s="3">
        <f>IS56*Z56</f>
        <v>865.61799999999994</v>
      </c>
      <c r="IV56">
        <f>VLOOKUP($R56,Afgr,Data!$BA$3)</f>
        <v>0</v>
      </c>
      <c r="IW56">
        <f>VLOOKUP($R56,Afgr,Data!$BB$3)</f>
        <v>0</v>
      </c>
      <c r="IX56">
        <f>$DS56+$EE56</f>
        <v>9.743999999999998</v>
      </c>
      <c r="IY56">
        <f>CT56</f>
        <v>0</v>
      </c>
      <c r="IZ56">
        <f>CQ56</f>
        <v>7</v>
      </c>
      <c r="JA56" s="3">
        <f>IF(HdgVaerdiNbal=1,(IZ56)*Ppris,(IY56+IZ56)*Ppris)</f>
        <v>97.3</v>
      </c>
      <c r="JB56" s="3">
        <f>JA56*Z56</f>
        <v>191.68099999999998</v>
      </c>
      <c r="JD56">
        <f>IF(AND(R56&gt;1,OR(Jordtype1=1,Jordtype1=3,Markvand1=2)),Kudvask,0)</f>
        <v>0</v>
      </c>
      <c r="JE56">
        <f>$DV56+$EH56</f>
        <v>62.639999999999993</v>
      </c>
      <c r="JF56">
        <f>DB56</f>
        <v>0</v>
      </c>
      <c r="JG56">
        <f>CY56</f>
        <v>24</v>
      </c>
      <c r="JH56" s="3">
        <f>IF(HdgVaerdiNbal=1,JG56*Kpris,(JF56+JG56)*Kpris)</f>
        <v>156</v>
      </c>
      <c r="JI56" s="3">
        <f>JH56*Z56</f>
        <v>307.32</v>
      </c>
      <c r="JK56">
        <f>IS56+JA56+JH56</f>
        <v>692.69999999999993</v>
      </c>
      <c r="JL56" s="3">
        <f>IF(Nbal!GT56&lt;&gt;"",Nbal!GT56,$JK56)</f>
        <v>692.69999999999993</v>
      </c>
      <c r="JM56" s="3">
        <f>JL56*Z56</f>
        <v>1364.6189999999999</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692.69999999999993</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280</v>
      </c>
      <c r="KQ56" s="3">
        <f>IF(Nbal!HX56&lt;&gt;"",Nbal!HX56,KP56)</f>
        <v>280</v>
      </c>
      <c r="KR56" s="3">
        <f>KQ56*Z56</f>
        <v>551.6</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3600</v>
      </c>
      <c r="OE56">
        <f>JW56+MZ56</f>
        <v>692.69999999999993</v>
      </c>
      <c r="OF56">
        <f>OD56-OE56</f>
        <v>2907.3</v>
      </c>
      <c r="OG56">
        <f>OF56*Z56</f>
        <v>5727.3810000000003</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0</v>
      </c>
      <c r="OR56">
        <f>OO56*OP56*OQ56</f>
        <v>0</v>
      </c>
      <c r="OS56" s="3">
        <f>OR56*Z56</f>
        <v>0</v>
      </c>
      <c r="OT56" s="3">
        <f>IF(Q56,1,0)*OS56</f>
        <v>0</v>
      </c>
      <c r="OV56">
        <f>VLOOKUP($T56,Efgr,Data!$AN$53)</f>
        <v>0</v>
      </c>
      <c r="OW56">
        <f>VLOOKUP($R56,Afgr,Data!$BQ$3)</f>
        <v>0</v>
      </c>
      <c r="OX56">
        <f>VLOOKUP($X56,Afgr,Data!$BR$3)</f>
        <v>0</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1</v>
      </c>
      <c r="PR56">
        <f>IF(PQ56&gt;0,Z56,0)</f>
        <v>1.97</v>
      </c>
      <c r="PT56">
        <f>VLOOKUP($O56,Afgr,Data!$BT$3)</f>
        <v>1</v>
      </c>
      <c r="PU56" s="3">
        <f>PT56*Z56</f>
        <v>1.97</v>
      </c>
      <c r="PV56">
        <f>VLOOKUP($R56,Afgr,Data!$BT$3)</f>
        <v>1</v>
      </c>
      <c r="PW56" s="3">
        <f>PV56*Z56</f>
        <v>1.97</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3000</v>
      </c>
      <c r="QK56">
        <f>QJ56*Z56</f>
        <v>5910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0</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0</v>
      </c>
      <c r="RO56">
        <v>2</v>
      </c>
      <c r="RP56">
        <f>(FF56)*RO56*0.01</f>
        <v>1.04</v>
      </c>
      <c r="RQ56">
        <v>7</v>
      </c>
      <c r="RR56">
        <f>CE56*RQ56*0.01</f>
        <v>0</v>
      </c>
      <c r="RS56">
        <v>7</v>
      </c>
      <c r="RT56">
        <f>(Regn2!CF56+Regn2!CG56)*RS56*0.01</f>
        <v>0</v>
      </c>
      <c r="RW56">
        <f>VLOOKUP(R56,Afgr,Data!$EE$3)</f>
        <v>0</v>
      </c>
      <c r="RX56" s="3">
        <f>RP56+RR56+RT56+RV56+RW56</f>
        <v>1.04</v>
      </c>
    </row>
    <row r="58" spans="1:492" x14ac:dyDescent="0.25">
      <c r="A58" s="214" t="str">
        <f>Nbal!B58</f>
        <v>22-2</v>
      </c>
      <c r="B58">
        <v>11</v>
      </c>
      <c r="C58">
        <v>1</v>
      </c>
      <c r="D58">
        <f>IF(C58=1,VLOOKUP(B58,Jordtype,Data!$K$112),VLOOKUP(B58,Jordtype,Data!$L$112))</f>
        <v>7</v>
      </c>
      <c r="E58">
        <f>IF(C58=1,VLOOKUP(B58,Jordtype,Data!$M$112),VLOOKUP(B58,Jordtype,Data!$N$112))</f>
        <v>12</v>
      </c>
      <c r="F58">
        <f>IF(OR(B58=1,B58=3),0,IF(OR(B58=2,B58=4),1,IF(OR(B58=5,B58=6),2,3)))</f>
        <v>3</v>
      </c>
      <c r="G58">
        <f>IF(C58=1,VLOOKUP(B58,Jordtype,Data!$Q$112),VLOOKUP(B58,Jordtype,Data!$R$112))</f>
        <v>23</v>
      </c>
      <c r="H58">
        <f>IF(C58=1,VLOOKUP(B58,Jordtype,Data!$O$112),VLOOKUP(B58,Jordtype,Data!$P$112))</f>
        <v>17</v>
      </c>
      <c r="I58">
        <f>IF(B58&lt;5,0,1)</f>
        <v>1</v>
      </c>
      <c r="J58">
        <f>IF(B58&lt;5,PlojJB,1)</f>
        <v>1</v>
      </c>
      <c r="K58">
        <f>IF(B58&lt;5,SaaJB,1)</f>
        <v>1</v>
      </c>
      <c r="L58">
        <f>IF(C58=1,VLOOKUP(B58,Jordtype,Data!$S$112),VLOOKUP(B58,Jordtype,Data!$T$112))</f>
        <v>6</v>
      </c>
      <c r="M58">
        <f>IF(C58=1,VLOOKUP(B58,Jordtype,Data!$U$112),VLOOKUP(B58,Jordtype,Data!$V$112))</f>
        <v>11</v>
      </c>
      <c r="O58">
        <v>26</v>
      </c>
      <c r="P58">
        <v>1</v>
      </c>
      <c r="Q58" t="b">
        <v>0</v>
      </c>
      <c r="R58">
        <v>26</v>
      </c>
      <c r="S58">
        <v>1</v>
      </c>
      <c r="T58">
        <v>1</v>
      </c>
      <c r="U58">
        <v>1</v>
      </c>
      <c r="V58">
        <v>1</v>
      </c>
      <c r="X58">
        <v>26</v>
      </c>
      <c r="Z58">
        <f>Nbal!AG58</f>
        <v>0.98</v>
      </c>
      <c r="AA58">
        <v>4</v>
      </c>
      <c r="AB58">
        <f>VLOOKUP($R58,Afgr,G58)</f>
        <v>134</v>
      </c>
      <c r="AC58">
        <f>VLOOKUP($O58,Afgr,Data!$AI$3)*VLOOKUP(R58,Afgr,Data!$AJ$3)</f>
        <v>0</v>
      </c>
      <c r="AD58">
        <f>IF($Q58,0,VLOOKUP($P58,Efgr,(Data!$W$53+$V$6-1)))</f>
        <v>0</v>
      </c>
      <c r="AE58">
        <f>AB58-AC58-AD58</f>
        <v>134</v>
      </c>
      <c r="AF58">
        <f>AE58*Z58</f>
        <v>131.32</v>
      </c>
      <c r="AH58">
        <f>VLOOKUP(R58,Afgr,D58)</f>
        <v>3000</v>
      </c>
      <c r="AI58">
        <f>VLOOKUP(O58,Afgr,Data!$AL$3)*VLOOKUP(R58,Afgr,E58)</f>
        <v>0</v>
      </c>
      <c r="AJ58">
        <f>VLOOKUP(P58,Efgr,(Data!$Y$53+I58))</f>
        <v>0</v>
      </c>
      <c r="AK58">
        <f>AH58+AI58+AJ58</f>
        <v>3000</v>
      </c>
      <c r="AL58">
        <f>AH58+AI58+AJ58</f>
        <v>3000</v>
      </c>
      <c r="AM58" s="3">
        <f>IF(Nbal!CK58&lt;&gt;"",Nbal!CK58,AL58)</f>
        <v>3000</v>
      </c>
      <c r="AN58">
        <f>AM58*Z58</f>
        <v>2940</v>
      </c>
      <c r="AO58" t="str">
        <f>VLOOKUP(R58,Afgr,3)</f>
        <v>FE</v>
      </c>
      <c r="AP58">
        <f>IF(AO58="FE",VLOOKUP($R58,Afgr,Data!$AV$3),0)</f>
        <v>1.1599999999999999</v>
      </c>
      <c r="AR58">
        <f>VLOOKUP(R58,Afgr,4)</f>
        <v>1.2</v>
      </c>
      <c r="AS58" s="3">
        <f>IF(Nbal!CW58&lt;&gt;"",Nbal!CW58,AR58)</f>
        <v>1.2</v>
      </c>
      <c r="AT58" s="3">
        <f>AM58*AS58</f>
        <v>3600</v>
      </c>
      <c r="AU58" s="3">
        <f>AN58*AS58</f>
        <v>3528</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52</v>
      </c>
      <c r="CB58" s="2">
        <f>Nbal!DZ58</f>
        <v>0</v>
      </c>
      <c r="CC58" s="211">
        <f>Nbal!AT58+Nbal!DZ58</f>
        <v>52</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7</v>
      </c>
      <c r="CR58">
        <f>Nbal!EC58</f>
        <v>0</v>
      </c>
      <c r="CS58">
        <f>(CQ58+CR58)*Z58</f>
        <v>6.8599999999999994</v>
      </c>
      <c r="CT58">
        <f>Nbal!CB58</f>
        <v>0</v>
      </c>
      <c r="CU58">
        <f>Nbal!EV58</f>
        <v>0</v>
      </c>
      <c r="CV58">
        <f>(CT58+CU58)*Z58</f>
        <v>0</v>
      </c>
      <c r="CW58">
        <f>Nbal!BA58+Nbal!CB58+Nbal!EC58+Nbal!EV58</f>
        <v>7</v>
      </c>
      <c r="CY58">
        <f>Nbal!BD58</f>
        <v>24</v>
      </c>
      <c r="CZ58">
        <f>Nbal!EF58</f>
        <v>0</v>
      </c>
      <c r="DA58">
        <f>(CY58+CZ58)*Z58</f>
        <v>23.52</v>
      </c>
      <c r="DB58">
        <f>Nbal!CE58</f>
        <v>0</v>
      </c>
      <c r="DC58">
        <f>Nbal!EY58</f>
        <v>0</v>
      </c>
      <c r="DD58">
        <f>(DB58+DC58)*Z58</f>
        <v>0</v>
      </c>
      <c r="DE58">
        <f>Nbal!BD58+Nbal!CE58+Nbal!EF58+Nbal!EY58</f>
        <v>24</v>
      </c>
      <c r="DG58">
        <f>VLOOKUP($R58,Afgr,Data!$AW$3)</f>
        <v>14</v>
      </c>
      <c r="DH58">
        <f>IF($AO58="FE",$AM58*$AP58*$DG58*0.01,$AM58*100*$DM58*0.01*$DG58*0.01)</f>
        <v>487.19999999999993</v>
      </c>
      <c r="DI58">
        <f>IF(VLOOKUP(R58,Afgr,Data!$BO$3)=1,DH58,0)*Z58</f>
        <v>0</v>
      </c>
      <c r="DJ58" s="12">
        <f>(BZ58+CC58+CJ58-AE58)*VLOOKUP($R58,Afgr,Data!$AX$3)</f>
        <v>0</v>
      </c>
      <c r="DK58">
        <f>DG58+DJ58</f>
        <v>14</v>
      </c>
      <c r="DL58">
        <f>IF(Nbal!CQ58&lt;&gt;"",Nbal!CQ58,DK58)</f>
        <v>14</v>
      </c>
      <c r="DM58">
        <f>VLOOKUP(R58,Afgr,Data!$AT$3)</f>
        <v>0</v>
      </c>
      <c r="DN58">
        <f>IF($AO58="FE",$AM58*$AP58*$DL58*0.01,$AM58*100*$DM58*0.01*DL58*0.01)</f>
        <v>487.19999999999993</v>
      </c>
      <c r="DO58">
        <f>IF(VLOOKUP(R58,Afgr,Data!$BO$3)=1,DN58,0)*Z58</f>
        <v>0</v>
      </c>
      <c r="DP58">
        <f>IF(ISERROR(DN58/VLOOKUP(R58,Afgr,Data!$AY$3)),0,DN58/VLOOKUP(R58,Afgr,Data!$AY$3))</f>
        <v>77.951999999999984</v>
      </c>
      <c r="DQ58">
        <f>DP58*Z58</f>
        <v>76.392959999999988</v>
      </c>
      <c r="DS58">
        <f>IF($AO58="FE",$AM58*$AP58*VLOOKUP($R58,Afgr,Data!$BC$3)*0.001,$AM58*100*$DM58*0.01*VLOOKUP($R58,Afgr,Data!$BC$3)*0.001)</f>
        <v>9.743999999999998</v>
      </c>
      <c r="DT58">
        <f>DS58*Z58</f>
        <v>9.5491199999999985</v>
      </c>
      <c r="DV58">
        <f>IF($AO58="FE",$AM58*$AP58*VLOOKUP($R58,Afgr,Data!$BF$3)*0.001,$AM58*100*$DM58*0.01*VLOOKUP($R58,Afgr,Data!$BF$3)*0.001)</f>
        <v>62.639999999999993</v>
      </c>
      <c r="DW58">
        <f>DV58*Z58</f>
        <v>61.387199999999993</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52</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52</v>
      </c>
      <c r="FG58" s="211">
        <f>FF58*Z58</f>
        <v>50.96</v>
      </c>
      <c r="FH58" s="211">
        <f>CE58+CH58+CO58</f>
        <v>0</v>
      </c>
      <c r="FI58" s="211">
        <f>FH58*Z58</f>
        <v>0</v>
      </c>
      <c r="FJ58">
        <f>VLOOKUP($R58,Afgr,Data!$DK$3)*VLOOKUP($R58,Afgr,Data!$AT$3)*0.01*VLOOKUP($R58,Afgr,Data!$AW$3)*0.01/6.25</f>
        <v>0</v>
      </c>
      <c r="FK58">
        <f>FJ58*Z58</f>
        <v>0</v>
      </c>
      <c r="FL58" s="4">
        <f>IF(R58&gt;1,Deposition,0)</f>
        <v>15</v>
      </c>
      <c r="FM58" s="4">
        <f>FL58*Z58</f>
        <v>14.7</v>
      </c>
      <c r="FN58">
        <f>FC58</f>
        <v>0</v>
      </c>
      <c r="FO58">
        <f>FN58*Z58</f>
        <v>0</v>
      </c>
      <c r="FP58" s="211">
        <f>SUM(FF58,FH58,FJ58,FL58,FN58)</f>
        <v>67</v>
      </c>
      <c r="FQ58">
        <f>DP58+EB58+EL58</f>
        <v>77.951999999999984</v>
      </c>
      <c r="FR58" s="3">
        <f>FP58-FQ58</f>
        <v>-10.951999999999984</v>
      </c>
      <c r="FS58" s="19">
        <f>FP58*Z58</f>
        <v>65.66</v>
      </c>
      <c r="FT58" s="19">
        <f>FQ58*Z58</f>
        <v>76.392959999999988</v>
      </c>
      <c r="FU58" s="3">
        <f>FR58*Z58</f>
        <v>-10.732959999999984</v>
      </c>
      <c r="FW58">
        <f>CW58</f>
        <v>7</v>
      </c>
      <c r="FX58">
        <f>FW58*Z58</f>
        <v>6.8599999999999994</v>
      </c>
      <c r="FY58">
        <f>IX58+MB58</f>
        <v>9.743999999999998</v>
      </c>
      <c r="FZ58">
        <f>FY58*Z58</f>
        <v>9.5491199999999985</v>
      </c>
      <c r="GA58">
        <f>FW58-FY58</f>
        <v>-2.743999999999998</v>
      </c>
      <c r="GB58">
        <f>GA58*Z58</f>
        <v>-2.6891199999999982</v>
      </c>
      <c r="GD58">
        <f>DE58</f>
        <v>24</v>
      </c>
      <c r="GE58">
        <f>GD58*Z58</f>
        <v>23.52</v>
      </c>
      <c r="GF58">
        <f>JE58+MH58</f>
        <v>62.639999999999993</v>
      </c>
      <c r="GG58">
        <f>GF58*Z58</f>
        <v>61.387199999999993</v>
      </c>
      <c r="GH58">
        <f>GD58-GF58</f>
        <v>-38.639999999999993</v>
      </c>
      <c r="GI58">
        <f>GH58*Z58</f>
        <v>-37.86719999999999</v>
      </c>
      <c r="GK58">
        <f>AA58</f>
        <v>4</v>
      </c>
      <c r="GL58" s="211">
        <f>FF58+FH58+FN58</f>
        <v>52</v>
      </c>
      <c r="GM58" s="211" t="str">
        <f>IF(R58=1,"",IF(GK58=1,GL58,""))</f>
        <v/>
      </c>
      <c r="GN58" s="211" t="str">
        <f>IF(R58=1,"",IF(GK58=2,GL58,""))</f>
        <v/>
      </c>
      <c r="GO58" s="211" t="str">
        <f>IF(R58=1,"",IF(GK58=3,GL58,""))</f>
        <v/>
      </c>
      <c r="GP58" s="211">
        <f>IF(R58=1,"",IF(GK58=4,GL58,""))</f>
        <v>52</v>
      </c>
      <c r="GQ58" s="149">
        <f>IF(OR(R58=1,VLOOKUP(R58,Afgr,Data!$BV$3)=1,VLOOKUP(R58,Afgr,Data!$BW$3)=1),0,IF(GK58=1,Nniveau1,IF(GK58=2,Nniveau2,IF(GK58=3,Nniveau3,IF(GK58=4,Nniveau4,GL58)))))</f>
        <v>46.222222222222221</v>
      </c>
      <c r="GR58" s="241">
        <v>0.32550000000000001</v>
      </c>
      <c r="GS58" s="6">
        <v>0</v>
      </c>
      <c r="GT58" s="149">
        <f>CC58+CM58</f>
        <v>52</v>
      </c>
      <c r="GU58" s="6">
        <f>$FN58</f>
        <v>0</v>
      </c>
      <c r="GV58" s="241">
        <v>0.25280000000000002</v>
      </c>
      <c r="GW58">
        <f>CO58</f>
        <v>0</v>
      </c>
      <c r="GX58" s="241">
        <v>0.376</v>
      </c>
      <c r="GY58" s="149">
        <f>CD58+CN58</f>
        <v>0</v>
      </c>
      <c r="GZ58" s="241">
        <f>IF(B58&gt;3,0.3539,1.0749)</f>
        <v>0.35389999999999999</v>
      </c>
      <c r="HA58" s="11">
        <f>$FQ58</f>
        <v>77.951999999999984</v>
      </c>
      <c r="HB58" s="241">
        <v>0.19359999999999999</v>
      </c>
      <c r="HC58" s="241">
        <f>VLOOKUP($R58,Afgr,Data!$DM$3)</f>
        <v>7</v>
      </c>
      <c r="HD58" s="24">
        <f>IF($HC58&gt;1,0,(VLOOKUP($X58,Afgr,Data!$DP$3)+IF(VLOOKUP($X58,Afgr,Data!$DP$3)=0,VLOOKUP($T58,Efgr,Data!$BI$53,0))))+IF(AND($HC58=7,VLOOKUP($X58,Afgr,Data!$DQ$3)=-2),-2,0)+IF(AND($HC58=6,VLOOKUP($T58,Efgr,Data!$BI$53)=2),8,0)</f>
        <v>0</v>
      </c>
      <c r="HE58" s="6">
        <f>VLOOKUP(SUM(HC58:HD58),Nlesafgr,3)</f>
        <v>-165.7</v>
      </c>
      <c r="HF58" s="7">
        <f>VLOOKUP($O58,Afgr,Data!$DN$3)</f>
        <v>4</v>
      </c>
      <c r="HG58" s="24">
        <f>IF(HF58&gt;1,0,VLOOKUP($R58,Afgr,Data!$DO$3)+IF(VLOOKUP($R58,Afgr,Data!$DO$3)=1,0,VLOOKUP($P58,Efgr,Data!$BJ$53)))</f>
        <v>0</v>
      </c>
      <c r="HH58" s="6">
        <f>VLOOKUP(SUM(HF58:HG58),Nlesforfrugt,3)</f>
        <v>34.700000000000003</v>
      </c>
      <c r="HI58" s="241">
        <f>GR58*GQ58+GV58*(GT58+GU58)+GX58*GW58+GZ58*GY58-HB58*HA58+HE58+HH58</f>
        <v>-117.90057386666665</v>
      </c>
      <c r="HJ58" s="241">
        <f>Nlesafskaering</f>
        <v>59.6</v>
      </c>
      <c r="HK58" s="241">
        <f>Teknologi1</f>
        <v>2455</v>
      </c>
      <c r="HL58" s="6">
        <v>2001</v>
      </c>
      <c r="HM58" s="241">
        <f>Teknologi2</f>
        <v>1962.2</v>
      </c>
      <c r="HN58" s="241">
        <f>Tandel</f>
        <v>0.54659999999999997</v>
      </c>
      <c r="HO58" s="241">
        <f>IF(OR(HI58&gt;0,HI58=0),HJ58+HK58/(HL58-HM58),HJ58+HK58/(HL58-HM58)+HN58*HI58)</f>
        <v>58.428742200768752</v>
      </c>
      <c r="HP58" s="241">
        <f>IF(HI58&gt;0,HI58,0.001)</f>
        <v>1E-3</v>
      </c>
      <c r="HQ58" s="241">
        <v>1.5020000000000001E-3</v>
      </c>
      <c r="HR58" s="24">
        <f>IF(R58=1,0,VLOOKUP(PostnrNbal,AfstromData,VLOOKUP($R58,Afgr,Data!$DL$3)+IF(Jordtype1&lt;7,Jordtype1,6),FALSE)-VLOOKUP(T58,Efgr,Data!$AA$53))</f>
        <v>272.32333333333298</v>
      </c>
      <c r="HS58" s="24">
        <f>IF(Nbal!GA58&lt;&gt;"",Nbal!GA58,Regn2!HR58)</f>
        <v>272.32333333333298</v>
      </c>
      <c r="HT58" s="241">
        <v>5.5400000000000002E-4</v>
      </c>
      <c r="HU58" s="24">
        <f>IF(R58=1,0,VLOOKUP(PostnrNbal,AfstromData,VLOOKUP($O58,Afgr,Data!$DL$3)+IF(B58&lt;7,B58,6),FALSE)-VLOOKUP(P58,Efgr,Data!$AA$53))</f>
        <v>272.32333333333298</v>
      </c>
      <c r="HV58" s="24">
        <f>IF(Nbal!FU58&lt;&gt;"",Nbal!FU58,Regn2!HU58)</f>
        <v>272.32333333333298</v>
      </c>
      <c r="HW58" s="241">
        <v>0.10639999999999999</v>
      </c>
      <c r="HX58" s="6">
        <f>VLOOKUP(B58,Jordtype,Data!$W$112)</f>
        <v>26</v>
      </c>
      <c r="HY58" s="241">
        <v>3.2500000000000001E-2</v>
      </c>
      <c r="HZ58" s="6">
        <f>VLOOKUP(B58,Jordtype,Data!$X$112)</f>
        <v>5</v>
      </c>
      <c r="IA58" s="241">
        <v>1.2453000000000001</v>
      </c>
      <c r="IB58" s="241">
        <f>IF(VLOOKUP(T58,Efgr,Data!$AO$53)=1,MlafgrNUdvask,0)</f>
        <v>0</v>
      </c>
      <c r="IC58" s="20">
        <f>IF(ISERROR((HO58+POWER(HP58,1.2))*(1-EXP(-HQ58*HS58))*EXP(-HT58*HV58)*EXP(-HW58*HX58)*EXP(-HY58*HZ58)*IA58),0,(HO58+POWER(HP58,1.2))*(1-EXP(-HQ58*HS58))*EXP(-HT58*HV58)*EXP(-HW58*HX58)*EXP(-HY58*HZ58)*IA58+IB58)</f>
        <v>1.1228840974698513</v>
      </c>
      <c r="ID58">
        <f>IC58*Z58</f>
        <v>1.1004264155204542</v>
      </c>
      <c r="IE58">
        <f>IF(Nbal!GF58&lt;&gt;"",Nbal!GF58,RetentionNbal)</f>
        <v>65</v>
      </c>
      <c r="IF58">
        <f>IC58*(100-IE58)*0.01</f>
        <v>0.393009434114448</v>
      </c>
      <c r="IG58">
        <f>IF58*Z58</f>
        <v>0.385149245432159</v>
      </c>
      <c r="IH58" s="2">
        <f>HS58*10000</f>
        <v>2723233.3333333298</v>
      </c>
      <c r="II58" s="2">
        <f>IH58*Z58</f>
        <v>2668768.6666666633</v>
      </c>
      <c r="IJ58">
        <f>IF(ISERROR(IC58*1000*1000/IH58),0,IC58*1000*1000/IH58)</f>
        <v>0.41233488284876529</v>
      </c>
      <c r="IL58">
        <f>AT58+AX58+BK58+BU58</f>
        <v>3600</v>
      </c>
      <c r="IO58">
        <f>VLOOKUP(R58,Afgr,Data!$AP$3)*UdsaedJust</f>
        <v>0</v>
      </c>
      <c r="IP58" s="3">
        <f>IF(Nbal!GN58&lt;&gt;"",Nbal!GN58,IO58)</f>
        <v>0</v>
      </c>
      <c r="IQ58" s="3">
        <f>IP58*Z58</f>
        <v>0</v>
      </c>
      <c r="IS58" s="3">
        <f>IF(HdgVaerdiNbal=1,(BZ58+CA58)*Npris,(BZ58+CA58+CJ58+CK58)*Npris)</f>
        <v>439.4</v>
      </c>
      <c r="IT58" s="3">
        <f>IS58*Z58</f>
        <v>430.61199999999997</v>
      </c>
      <c r="IV58">
        <f>VLOOKUP($R58,Afgr,Data!$BA$3)</f>
        <v>0</v>
      </c>
      <c r="IW58">
        <f>VLOOKUP($R58,Afgr,Data!$BB$3)</f>
        <v>0</v>
      </c>
      <c r="IX58">
        <f>$DS58+$EE58</f>
        <v>9.743999999999998</v>
      </c>
      <c r="IY58">
        <f>CT58</f>
        <v>0</v>
      </c>
      <c r="IZ58">
        <f>CQ58</f>
        <v>7</v>
      </c>
      <c r="JA58" s="3">
        <f>IF(HdgVaerdiNbal=1,(IZ58)*Ppris,(IY58+IZ58)*Ppris)</f>
        <v>97.3</v>
      </c>
      <c r="JB58" s="3">
        <f>JA58*Z58</f>
        <v>95.353999999999999</v>
      </c>
      <c r="JD58">
        <f>IF(AND(R58&gt;1,OR(Jordtype1=1,Jordtype1=3,Markvand1=2)),Kudvask,0)</f>
        <v>0</v>
      </c>
      <c r="JE58">
        <f>$DV58+$EH58</f>
        <v>62.639999999999993</v>
      </c>
      <c r="JF58">
        <f>DB58</f>
        <v>0</v>
      </c>
      <c r="JG58">
        <f>CY58</f>
        <v>24</v>
      </c>
      <c r="JH58" s="3">
        <f>IF(HdgVaerdiNbal=1,JG58*Kpris,(JF58+JG58)*Kpris)</f>
        <v>156</v>
      </c>
      <c r="JI58" s="3">
        <f>JH58*Z58</f>
        <v>152.88</v>
      </c>
      <c r="JK58">
        <f>IS58+JA58+JH58</f>
        <v>692.69999999999993</v>
      </c>
      <c r="JL58" s="3">
        <f>IF(Nbal!GT58&lt;&gt;"",Nbal!GT58,$JK58)</f>
        <v>692.69999999999993</v>
      </c>
      <c r="JM58" s="3">
        <f>JL58*Z58</f>
        <v>678.84599999999989</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692.69999999999993</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280</v>
      </c>
      <c r="KQ58" s="3">
        <f>IF(Nbal!HX58&lt;&gt;"",Nbal!HX58,KP58)</f>
        <v>280</v>
      </c>
      <c r="KR58" s="3">
        <f>KQ58*Z58</f>
        <v>274.39999999999998</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3600</v>
      </c>
      <c r="OE58">
        <f>JW58+MZ58</f>
        <v>692.69999999999993</v>
      </c>
      <c r="OF58">
        <f>OD58-OE58</f>
        <v>2907.3</v>
      </c>
      <c r="OG58">
        <f>OF58*Z58</f>
        <v>2849.154</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0</v>
      </c>
      <c r="OR58">
        <f>OO58*OP58*OQ58</f>
        <v>0</v>
      </c>
      <c r="OS58" s="3">
        <f>OR58*Z58</f>
        <v>0</v>
      </c>
      <c r="OT58" s="3">
        <f>IF(Q58,1,0)*OS58</f>
        <v>0</v>
      </c>
      <c r="OV58">
        <f>VLOOKUP($T58,Efgr,Data!$AN$53)</f>
        <v>0</v>
      </c>
      <c r="OW58">
        <f>VLOOKUP($R58,Afgr,Data!$BQ$3)</f>
        <v>0</v>
      </c>
      <c r="OX58">
        <f>VLOOKUP($X58,Afgr,Data!$BR$3)</f>
        <v>0</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1</v>
      </c>
      <c r="PR58">
        <f>IF(PQ58&gt;0,Z58,0)</f>
        <v>0.98</v>
      </c>
      <c r="PT58">
        <f>VLOOKUP($O58,Afgr,Data!$BT$3)</f>
        <v>1</v>
      </c>
      <c r="PU58" s="3">
        <f>PT58*Z58</f>
        <v>0.98</v>
      </c>
      <c r="PV58">
        <f>VLOOKUP($R58,Afgr,Data!$BT$3)</f>
        <v>1</v>
      </c>
      <c r="PW58" s="3">
        <f>PV58*Z58</f>
        <v>0.98</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3000</v>
      </c>
      <c r="QK58">
        <f>QJ58*Z58</f>
        <v>2940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0</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0</v>
      </c>
      <c r="RO58">
        <v>2</v>
      </c>
      <c r="RP58">
        <f>(FF58)*RO58*0.01</f>
        <v>1.04</v>
      </c>
      <c r="RQ58">
        <v>7</v>
      </c>
      <c r="RR58">
        <f>CE58*RQ58*0.01</f>
        <v>0</v>
      </c>
      <c r="RS58">
        <v>7</v>
      </c>
      <c r="RT58">
        <f>(Regn2!CF58+Regn2!CG58)*RS58*0.01</f>
        <v>0</v>
      </c>
      <c r="RW58">
        <f>VLOOKUP(R58,Afgr,Data!$EE$3)</f>
        <v>0</v>
      </c>
      <c r="RX58" s="3">
        <f>RP58+RR58+RT58+RV58+RW58</f>
        <v>1.04</v>
      </c>
    </row>
    <row r="60" spans="1:492" x14ac:dyDescent="0.25">
      <c r="A60" s="214" t="str">
        <f>Nbal!B60</f>
        <v>23-0</v>
      </c>
      <c r="B60">
        <v>11</v>
      </c>
      <c r="C60">
        <v>1</v>
      </c>
      <c r="D60">
        <f>IF(C60=1,VLOOKUP(B60,Jordtype,Data!$K$112),VLOOKUP(B60,Jordtype,Data!$L$112))</f>
        <v>7</v>
      </c>
      <c r="E60">
        <f>IF(C60=1,VLOOKUP(B60,Jordtype,Data!$M$112),VLOOKUP(B60,Jordtype,Data!$N$112))</f>
        <v>12</v>
      </c>
      <c r="F60">
        <f>IF(OR(B60=1,B60=3),0,IF(OR(B60=2,B60=4),1,IF(OR(B60=5,B60=6),2,3)))</f>
        <v>3</v>
      </c>
      <c r="G60">
        <f>IF(C60=1,VLOOKUP(B60,Jordtype,Data!$Q$112),VLOOKUP(B60,Jordtype,Data!$R$112))</f>
        <v>23</v>
      </c>
      <c r="H60">
        <f>IF(C60=1,VLOOKUP(B60,Jordtype,Data!$O$112),VLOOKUP(B60,Jordtype,Data!$P$112))</f>
        <v>17</v>
      </c>
      <c r="I60">
        <f>IF(B60&lt;5,0,1)</f>
        <v>1</v>
      </c>
      <c r="J60">
        <f>IF(B60&lt;5,PlojJB,1)</f>
        <v>1</v>
      </c>
      <c r="K60">
        <f>IF(B60&lt;5,SaaJB,1)</f>
        <v>1</v>
      </c>
      <c r="L60">
        <f>IF(C60=1,VLOOKUP(B60,Jordtype,Data!$S$112),VLOOKUP(B60,Jordtype,Data!$T$112))</f>
        <v>6</v>
      </c>
      <c r="M60">
        <f>IF(C60=1,VLOOKUP(B60,Jordtype,Data!$U$112),VLOOKUP(B60,Jordtype,Data!$V$112))</f>
        <v>11</v>
      </c>
      <c r="O60">
        <v>19</v>
      </c>
      <c r="P60">
        <v>1</v>
      </c>
      <c r="Q60" t="b">
        <v>0</v>
      </c>
      <c r="R60">
        <v>19</v>
      </c>
      <c r="S60">
        <v>1</v>
      </c>
      <c r="T60">
        <v>1</v>
      </c>
      <c r="U60">
        <v>1</v>
      </c>
      <c r="V60">
        <v>1</v>
      </c>
      <c r="X60">
        <v>19</v>
      </c>
      <c r="Z60">
        <f>Nbal!AG60</f>
        <v>1.34</v>
      </c>
      <c r="AA60">
        <v>1</v>
      </c>
      <c r="AB60">
        <f>VLOOKUP($R60,Afgr,G60)</f>
        <v>321</v>
      </c>
      <c r="AC60">
        <f>VLOOKUP($O60,Afgr,Data!$AI$3)*VLOOKUP(R60,Afgr,Data!$AJ$3)</f>
        <v>0</v>
      </c>
      <c r="AD60">
        <f>IF($Q60,0,VLOOKUP($P60,Efgr,(Data!$W$53+$V$6-1)))</f>
        <v>0</v>
      </c>
      <c r="AE60">
        <f>AB60-AC60-AD60</f>
        <v>321</v>
      </c>
      <c r="AF60">
        <f>AE60*Z60</f>
        <v>430.14000000000004</v>
      </c>
      <c r="AH60">
        <f>VLOOKUP(R60,Afgr,D60)</f>
        <v>7100</v>
      </c>
      <c r="AI60">
        <f>VLOOKUP(O60,Afgr,Data!$AL$3)*VLOOKUP(R60,Afgr,E60)</f>
        <v>0</v>
      </c>
      <c r="AJ60">
        <f>VLOOKUP(P60,Efgr,(Data!$Y$53+I60))</f>
        <v>0</v>
      </c>
      <c r="AK60">
        <f>AH60+AI60+AJ60</f>
        <v>7100</v>
      </c>
      <c r="AL60">
        <f>AH60+AI60+AJ60</f>
        <v>7100</v>
      </c>
      <c r="AM60" s="3">
        <f>IF(Nbal!CK60&lt;&gt;"",Nbal!CK60,AL60)</f>
        <v>7100</v>
      </c>
      <c r="AN60">
        <f>AM60*Z60</f>
        <v>9514</v>
      </c>
      <c r="AO60" t="str">
        <f>VLOOKUP(R60,Afgr,3)</f>
        <v>FE</v>
      </c>
      <c r="AP60">
        <f>IF(AO60="FE",VLOOKUP($R60,Afgr,Data!$AV$3),0)</f>
        <v>1.24</v>
      </c>
      <c r="AR60">
        <f>VLOOKUP(R60,Afgr,4)</f>
        <v>1.2</v>
      </c>
      <c r="AS60" s="3">
        <f>IF(Nbal!CW60&lt;&gt;"",Nbal!CW60,AR60)</f>
        <v>1.2</v>
      </c>
      <c r="AT60" s="3">
        <f>AM60*AS60</f>
        <v>8520</v>
      </c>
      <c r="AU60" s="3">
        <f>AN60*AS60</f>
        <v>11416.8</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206</v>
      </c>
      <c r="CB60" s="2">
        <f>Nbal!DZ60</f>
        <v>0</v>
      </c>
      <c r="CC60" s="211">
        <f>Nbal!AT60+Nbal!DZ60</f>
        <v>206</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27</v>
      </c>
      <c r="CR60">
        <f>Nbal!EC60</f>
        <v>0</v>
      </c>
      <c r="CS60">
        <f>(CQ60+CR60)*Z60</f>
        <v>36.18</v>
      </c>
      <c r="CT60">
        <f>Nbal!CB60</f>
        <v>0</v>
      </c>
      <c r="CU60">
        <f>Nbal!EV60</f>
        <v>0</v>
      </c>
      <c r="CV60">
        <f>(CT60+CU60)*Z60</f>
        <v>0</v>
      </c>
      <c r="CW60">
        <f>Nbal!BA60+Nbal!CB60+Nbal!EC60+Nbal!EV60</f>
        <v>27</v>
      </c>
      <c r="CY60">
        <f>Nbal!BD60</f>
        <v>96</v>
      </c>
      <c r="CZ60">
        <f>Nbal!EF60</f>
        <v>0</v>
      </c>
      <c r="DA60">
        <f>(CY60+CZ60)*Z60</f>
        <v>128.64000000000001</v>
      </c>
      <c r="DB60">
        <f>Nbal!CE60</f>
        <v>0</v>
      </c>
      <c r="DC60">
        <f>Nbal!EY60</f>
        <v>0</v>
      </c>
      <c r="DD60">
        <f>(DB60+DC60)*Z60</f>
        <v>0</v>
      </c>
      <c r="DE60">
        <f>Nbal!BD60+Nbal!CE60+Nbal!EF60+Nbal!EY60</f>
        <v>96</v>
      </c>
      <c r="DG60">
        <f>VLOOKUP($R60,Afgr,Data!$AW$3)</f>
        <v>16.3125</v>
      </c>
      <c r="DH60">
        <f>IF($AO60="FE",$AM60*$AP60*$DG60*0.01,$AM60*100*$DM60*0.01*$DG60*0.01)</f>
        <v>1436.1524999999999</v>
      </c>
      <c r="DI60">
        <f>IF(VLOOKUP(R60,Afgr,Data!$BO$3)=1,DH60,0)*Z60</f>
        <v>0</v>
      </c>
      <c r="DJ60" s="12">
        <f>(BZ60+CC60+CJ60-AE60)*VLOOKUP($R60,Afgr,Data!$AX$3)</f>
        <v>0</v>
      </c>
      <c r="DK60">
        <f>DG60+DJ60</f>
        <v>16.3125</v>
      </c>
      <c r="DL60">
        <f>IF(Nbal!CQ60&lt;&gt;"",Nbal!CQ60,DK60)</f>
        <v>16.3125</v>
      </c>
      <c r="DM60">
        <f>VLOOKUP(R60,Afgr,Data!$AT$3)</f>
        <v>0</v>
      </c>
      <c r="DN60">
        <f>IF($AO60="FE",$AM60*$AP60*$DL60*0.01,$AM60*100*$DM60*0.01*DL60*0.01)</f>
        <v>1436.1524999999999</v>
      </c>
      <c r="DO60">
        <f>IF(VLOOKUP(R60,Afgr,Data!$BO$3)=1,DN60,0)*Z60</f>
        <v>0</v>
      </c>
      <c r="DP60">
        <f>IF(ISERROR(DN60/VLOOKUP(R60,Afgr,Data!$AY$3)),0,DN60/VLOOKUP(R60,Afgr,Data!$AY$3))</f>
        <v>229.78439999999998</v>
      </c>
      <c r="DQ60">
        <f>DP60*Z60</f>
        <v>307.91109599999999</v>
      </c>
      <c r="DS60">
        <f>IF($AO60="FE",$AM60*$AP60*VLOOKUP($R60,Afgr,Data!$BC$3)*0.001,$AM60*100*$DM60*0.01*VLOOKUP($R60,Afgr,Data!$BC$3)*0.001)</f>
        <v>32.574800000000003</v>
      </c>
      <c r="DT60">
        <f>DS60*Z60</f>
        <v>43.65023200000001</v>
      </c>
      <c r="DV60">
        <f>IF($AO60="FE",$AM60*$AP60*VLOOKUP($R60,Afgr,Data!$BF$3)*0.001,$AM60*100*$DM60*0.01*VLOOKUP($R60,Afgr,Data!$BF$3)*0.001)</f>
        <v>255.316</v>
      </c>
      <c r="DW60">
        <f>DV60*Z60</f>
        <v>342.12344000000002</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206</v>
      </c>
      <c r="EZ60">
        <f>IF(VLOOKUP($R60,Afgr,Data!$DS$3)=5,($AM60*0.02742-$AM60*0.0001*$EY60+$AM60*0.0000001111*$EY60*$EY60),0)</f>
        <v>81.895941159999964</v>
      </c>
      <c r="FA60" s="2">
        <f>CB60+CL60</f>
        <v>0</v>
      </c>
      <c r="FB60">
        <f>IF(VLOOKUP($T60,Efgr,Data!$BH$53)=5,($BR60*0.02742-$BR60*0.0001*$FA60+$BR60*0.0000001111*$FA60*$FA60),0)</f>
        <v>0</v>
      </c>
      <c r="FC60" s="3">
        <f>EU60+EV60+EW60+EX60+EZ60+FB60</f>
        <v>81.895941159999964</v>
      </c>
      <c r="FD60" s="3">
        <f>FC60*Z60</f>
        <v>109.74056115439996</v>
      </c>
      <c r="FF60" s="211">
        <f>BZ60+CC60</f>
        <v>206</v>
      </c>
      <c r="FG60" s="211">
        <f>FF60*Z60</f>
        <v>276.04000000000002</v>
      </c>
      <c r="FH60" s="211">
        <f>CE60+CH60+CO60</f>
        <v>0</v>
      </c>
      <c r="FI60" s="211">
        <f>FH60*Z60</f>
        <v>0</v>
      </c>
      <c r="FJ60">
        <f>VLOOKUP($R60,Afgr,Data!$DK$3)*VLOOKUP($R60,Afgr,Data!$AT$3)*0.01*VLOOKUP($R60,Afgr,Data!$AW$3)*0.01/6.25</f>
        <v>0</v>
      </c>
      <c r="FK60">
        <f>FJ60*Z60</f>
        <v>0</v>
      </c>
      <c r="FL60" s="4">
        <f>IF(R60&gt;1,Deposition,0)</f>
        <v>15</v>
      </c>
      <c r="FM60" s="4">
        <f>FL60*Z60</f>
        <v>20.100000000000001</v>
      </c>
      <c r="FN60">
        <f>FC60</f>
        <v>81.895941159999964</v>
      </c>
      <c r="FO60">
        <f>FN60*Z60</f>
        <v>109.74056115439996</v>
      </c>
      <c r="FP60" s="211">
        <f>SUM(FF60,FH60,FJ60,FL60,FN60)</f>
        <v>302.89594115999995</v>
      </c>
      <c r="FQ60">
        <f>DP60+EB60+EL60</f>
        <v>229.78439999999998</v>
      </c>
      <c r="FR60" s="3">
        <f>FP60-FQ60</f>
        <v>73.111541159999973</v>
      </c>
      <c r="FS60" s="19">
        <f>FP60*Z60</f>
        <v>405.88056115439997</v>
      </c>
      <c r="FT60" s="19">
        <f>FQ60*Z60</f>
        <v>307.91109599999999</v>
      </c>
      <c r="FU60" s="3">
        <f>FR60*Z60</f>
        <v>97.96946515439997</v>
      </c>
      <c r="FW60">
        <f>CW60</f>
        <v>27</v>
      </c>
      <c r="FX60">
        <f>FW60*Z60</f>
        <v>36.18</v>
      </c>
      <c r="FY60">
        <f>IX60+MB60</f>
        <v>32.574800000000003</v>
      </c>
      <c r="FZ60">
        <f>FY60*Z60</f>
        <v>43.65023200000001</v>
      </c>
      <c r="GA60">
        <f>FW60-FY60</f>
        <v>-5.5748000000000033</v>
      </c>
      <c r="GB60">
        <f>GA60*Z60</f>
        <v>-7.4702320000000046</v>
      </c>
      <c r="GD60">
        <f>DE60</f>
        <v>96</v>
      </c>
      <c r="GE60">
        <f>GD60*Z60</f>
        <v>128.64000000000001</v>
      </c>
      <c r="GF60">
        <f>JE60+MH60</f>
        <v>255.316</v>
      </c>
      <c r="GG60">
        <f>GF60*Z60</f>
        <v>342.12344000000002</v>
      </c>
      <c r="GH60">
        <f>GD60-GF60</f>
        <v>-159.316</v>
      </c>
      <c r="GI60">
        <f>GH60*Z60</f>
        <v>-213.48344000000003</v>
      </c>
      <c r="GK60">
        <f>AA60</f>
        <v>1</v>
      </c>
      <c r="GL60" s="211">
        <f>FF60+FH60+FN60</f>
        <v>287.89594115999995</v>
      </c>
      <c r="GM60" s="211">
        <f>IF(R60=1,"",IF(GK60=1,GL60,""))</f>
        <v>287.89594115999995</v>
      </c>
      <c r="GN60" s="211" t="str">
        <f>IF(R60=1,"",IF(GK60=2,GL60,""))</f>
        <v/>
      </c>
      <c r="GO60" s="211" t="str">
        <f>IF(R60=1,"",IF(GK60=3,GL60,""))</f>
        <v/>
      </c>
      <c r="GP60" s="211" t="str">
        <f>IF(R60=1,"",IF(GK60=4,GL60,""))</f>
        <v/>
      </c>
      <c r="GQ60" s="149">
        <f>IF(OR(R60=1,VLOOKUP(R60,Afgr,Data!$BV$3)=1,VLOOKUP(R60,Afgr,Data!$BW$3)=1),0,IF(GK60=1,Nniveau1,IF(GK60=2,Nniveau2,IF(GK60=3,Nniveau3,IF(GK60=4,Nniveau4,GL60)))))</f>
        <v>197.65542292344122</v>
      </c>
      <c r="GR60" s="241">
        <v>0.32550000000000001</v>
      </c>
      <c r="GS60" s="6">
        <v>0</v>
      </c>
      <c r="GT60" s="149">
        <f>CC60+CM60</f>
        <v>206</v>
      </c>
      <c r="GU60" s="6">
        <f>$FN60</f>
        <v>81.895941159999964</v>
      </c>
      <c r="GV60" s="241">
        <v>0.25280000000000002</v>
      </c>
      <c r="GW60">
        <f>CO60</f>
        <v>0</v>
      </c>
      <c r="GX60" s="241">
        <v>0.376</v>
      </c>
      <c r="GY60" s="149">
        <f>CD60+CN60</f>
        <v>0</v>
      </c>
      <c r="GZ60" s="241">
        <f>IF(B60&gt;3,0.3539,1.0749)</f>
        <v>0.35389999999999999</v>
      </c>
      <c r="HA60" s="11">
        <f>$FQ60</f>
        <v>229.78439999999998</v>
      </c>
      <c r="HB60" s="241">
        <v>0.19359999999999999</v>
      </c>
      <c r="HC60" s="241">
        <f>VLOOKUP($R60,Afgr,Data!$DM$3)</f>
        <v>7</v>
      </c>
      <c r="HD60" s="24">
        <f>IF($HC60&gt;1,0,(VLOOKUP($X60,Afgr,Data!$DP$3)+IF(VLOOKUP($X60,Afgr,Data!$DP$3)=0,VLOOKUP($T60,Efgr,Data!$BI$53,0))))+IF(AND($HC60=7,VLOOKUP($X60,Afgr,Data!$DQ$3)=-2),-2,0)+IF(AND($HC60=6,VLOOKUP($T60,Efgr,Data!$BI$53)=2),8,0)</f>
        <v>0</v>
      </c>
      <c r="HE60" s="6">
        <f>VLOOKUP(SUM(HC60:HD60),Nlesafgr,3)</f>
        <v>-165.7</v>
      </c>
      <c r="HF60" s="7">
        <f>VLOOKUP($O60,Afgr,Data!$DN$3)</f>
        <v>4</v>
      </c>
      <c r="HG60" s="24">
        <f>IF(HF60&gt;1,0,VLOOKUP($R60,Afgr,Data!$DO$3)+IF(VLOOKUP($R60,Afgr,Data!$DO$3)=1,0,VLOOKUP($P60,Efgr,Data!$BJ$53)))</f>
        <v>0</v>
      </c>
      <c r="HH60" s="6">
        <f>VLOOKUP(SUM(HF60:HG60),Nlesforfrugt,3)</f>
        <v>34.700000000000003</v>
      </c>
      <c r="HI60" s="241">
        <f>GR60*GQ60+GV60*(GT60+GU60)+GX60*GW60+GZ60*GY60-HB60*HA60+HE60+HH60</f>
        <v>-38.369325753171879</v>
      </c>
      <c r="HJ60" s="241">
        <f>Nlesafskaering</f>
        <v>59.6</v>
      </c>
      <c r="HK60" s="241">
        <f>Teknologi1</f>
        <v>2455</v>
      </c>
      <c r="HL60" s="6">
        <v>2001</v>
      </c>
      <c r="HM60" s="241">
        <f>Teknologi2</f>
        <v>1962.2</v>
      </c>
      <c r="HN60" s="241">
        <f>Tandel</f>
        <v>0.54659999999999997</v>
      </c>
      <c r="HO60" s="241">
        <f>IF(OR(HI60&gt;0,HI60=0),HJ60+HK60/(HL60-HM60),HJ60+HK60/(HL60-HM60)+HN60*HI60)</f>
        <v>101.90052241960498</v>
      </c>
      <c r="HP60" s="241">
        <f>IF(HI60&gt;0,HI60,0.001)</f>
        <v>1E-3</v>
      </c>
      <c r="HQ60" s="241">
        <v>1.5020000000000001E-3</v>
      </c>
      <c r="HR60" s="24">
        <f>IF(R60=1,0,VLOOKUP(PostnrNbal,AfstromData,VLOOKUP($R60,Afgr,Data!$DL$3)+IF(Jordtype1&lt;7,Jordtype1,6),FALSE)-VLOOKUP(T60,Efgr,Data!$AA$53))</f>
        <v>272.32333333333298</v>
      </c>
      <c r="HS60" s="24">
        <f>IF(Nbal!GA60&lt;&gt;"",Nbal!GA60,Regn2!HR60)</f>
        <v>272.32333333333298</v>
      </c>
      <c r="HT60" s="241">
        <v>5.5400000000000002E-4</v>
      </c>
      <c r="HU60" s="24">
        <f>IF(R60=1,0,VLOOKUP(PostnrNbal,AfstromData,VLOOKUP($O60,Afgr,Data!$DL$3)+IF(B60&lt;7,B60,6),FALSE)-VLOOKUP(P60,Efgr,Data!$AA$53))</f>
        <v>272.32333333333298</v>
      </c>
      <c r="HV60" s="24">
        <f>IF(Nbal!FU60&lt;&gt;"",Nbal!FU60,Regn2!HU60)</f>
        <v>272.32333333333298</v>
      </c>
      <c r="HW60" s="241">
        <v>0.10639999999999999</v>
      </c>
      <c r="HX60" s="6">
        <f>VLOOKUP(B60,Jordtype,Data!$W$112)</f>
        <v>26</v>
      </c>
      <c r="HY60" s="241">
        <v>3.2500000000000001E-2</v>
      </c>
      <c r="HZ60" s="6">
        <f>VLOOKUP(B60,Jordtype,Data!$X$112)</f>
        <v>5</v>
      </c>
      <c r="IA60" s="241">
        <v>1.2453000000000001</v>
      </c>
      <c r="IB60" s="241">
        <f>IF(VLOOKUP(T60,Efgr,Data!$AO$53)=1,MlafgrNUdvask,0)</f>
        <v>0</v>
      </c>
      <c r="IC60" s="20">
        <f>IF(ISERROR((HO60+POWER(HP60,1.2))*(1-EXP(-HQ60*HS60))*EXP(-HT60*HV60)*EXP(-HW60*HX60)*EXP(-HY60*HZ60)*IA60),0,(HO60+POWER(HP60,1.2))*(1-EXP(-HQ60*HS60))*EXP(-HT60*HV60)*EXP(-HW60*HX60)*EXP(-HY60*HZ60)*IA60+IB60)</f>
        <v>1.9583215723396705</v>
      </c>
      <c r="ID60">
        <f>IC60*Z60</f>
        <v>2.6241509069351587</v>
      </c>
      <c r="IE60">
        <f>IF(Nbal!GF60&lt;&gt;"",Nbal!GF60,RetentionNbal)</f>
        <v>65</v>
      </c>
      <c r="IF60">
        <f>IC60*(100-IE60)*0.01</f>
        <v>0.68541255031888471</v>
      </c>
      <c r="IG60">
        <f>IF60*Z60</f>
        <v>0.91845281742730556</v>
      </c>
      <c r="IH60" s="2">
        <f>HS60*10000</f>
        <v>2723233.3333333298</v>
      </c>
      <c r="II60" s="2">
        <f>IH60*Z60</f>
        <v>3649132.6666666623</v>
      </c>
      <c r="IJ60">
        <f>IF(ISERROR(IC60*1000*1000/IH60),0,IC60*1000*1000/IH60)</f>
        <v>0.7191163343842516</v>
      </c>
      <c r="IL60">
        <f>AT60+AX60+BK60+BU60</f>
        <v>8520</v>
      </c>
      <c r="IO60">
        <f>VLOOKUP(R60,Afgr,Data!$AP$3)*UdsaedJust</f>
        <v>420</v>
      </c>
      <c r="IP60" s="3">
        <f>IF(Nbal!GN60&lt;&gt;"",Nbal!GN60,IO60)</f>
        <v>420</v>
      </c>
      <c r="IQ60" s="3">
        <f>IP60*Z60</f>
        <v>562.80000000000007</v>
      </c>
      <c r="IS60" s="3">
        <f>IF(HdgVaerdiNbal=1,(BZ60+CA60)*Npris,(BZ60+CA60+CJ60+CK60)*Npris)</f>
        <v>1740.6999999999998</v>
      </c>
      <c r="IT60" s="3">
        <f>IS60*Z60</f>
        <v>2332.538</v>
      </c>
      <c r="IV60">
        <f>VLOOKUP($R60,Afgr,Data!$BA$3)</f>
        <v>0</v>
      </c>
      <c r="IW60">
        <f>VLOOKUP($R60,Afgr,Data!$BB$3)</f>
        <v>0</v>
      </c>
      <c r="IX60">
        <f>$DS60+$EE60</f>
        <v>32.574800000000003</v>
      </c>
      <c r="IY60">
        <f>CT60</f>
        <v>0</v>
      </c>
      <c r="IZ60">
        <f>CQ60</f>
        <v>27</v>
      </c>
      <c r="JA60" s="3">
        <f>IF(HdgVaerdiNbal=1,(IZ60)*Ppris,(IY60+IZ60)*Ppris)</f>
        <v>375.3</v>
      </c>
      <c r="JB60" s="3">
        <f>JA60*Z60</f>
        <v>502.90200000000004</v>
      </c>
      <c r="JD60">
        <f>IF(AND(R60&gt;1,OR(Jordtype1=1,Jordtype1=3,Markvand1=2)),Kudvask,0)</f>
        <v>0</v>
      </c>
      <c r="JE60">
        <f>$DV60+$EH60</f>
        <v>255.316</v>
      </c>
      <c r="JF60">
        <f>DB60</f>
        <v>0</v>
      </c>
      <c r="JG60">
        <f>CY60</f>
        <v>96</v>
      </c>
      <c r="JH60" s="3">
        <f>IF(HdgVaerdiNbal=1,JG60*Kpris,(JF60+JG60)*Kpris)</f>
        <v>624</v>
      </c>
      <c r="JI60" s="3">
        <f>JH60*Z60</f>
        <v>836.16000000000008</v>
      </c>
      <c r="JK60">
        <f>IS60+JA60+JH60</f>
        <v>2740</v>
      </c>
      <c r="JL60" s="3">
        <f>IF(Nbal!GT60&lt;&gt;"",Nbal!GT60,$JK60)</f>
        <v>2740</v>
      </c>
      <c r="JM60" s="3">
        <f>JL60*Z60</f>
        <v>3671.6000000000004</v>
      </c>
      <c r="JO60">
        <f>VLOOKUP(R60,Afgr,Data!$AQ$3)*PlantevJust</f>
        <v>0</v>
      </c>
      <c r="JP60" s="3">
        <f>IF(Nbal!GZ60&lt;&gt;"",Nbal!GZ60,JO60)</f>
        <v>0</v>
      </c>
      <c r="JQ60" s="3">
        <f>JP60*Z60</f>
        <v>0</v>
      </c>
      <c r="JS60">
        <f>VLOOKUP(R60,Afgr,Data!$AR$3)+AM60*VLOOKUP(R60,Afgr,Data!$BH$3)</f>
        <v>369.2</v>
      </c>
      <c r="JT60" s="3">
        <f>IF(Nbal!HF60&lt;&gt;"",Nbal!HF60,JS60)</f>
        <v>369.2</v>
      </c>
      <c r="JU60">
        <f>JT60*Z60</f>
        <v>494.72800000000001</v>
      </c>
      <c r="JW60">
        <f>IP60+JL60+JP60+JT60</f>
        <v>3529.2</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125</v>
      </c>
      <c r="KH60">
        <f>IF(VLOOKUP(R60,Afgr,Data!$CE$3)&gt;0,Data!$K$264*K60,0)</f>
        <v>0</v>
      </c>
      <c r="KI60">
        <f>IF(VLOOKUP(R60,Afgr,Data!$CF$3)&gt;0,Data!$K$265*K60,0)</f>
        <v>0</v>
      </c>
      <c r="KJ60">
        <f>IF(VLOOKUP(R60,Afgr,Data!$CV$3)&gt;0,Data!$K$266,0)</f>
        <v>0</v>
      </c>
      <c r="KK60">
        <f>IF(VLOOKUP(R60,Afgr,Data!$CG$3)&gt;0,Data!$K$267*K60,0)</f>
        <v>0</v>
      </c>
      <c r="KL60">
        <f>(KE60+KF60+KG60+KH60+KI60+KJ60+KK60)*MaskJust</f>
        <v>125</v>
      </c>
      <c r="KM60" s="3">
        <f>IF(Nbal!HR60&lt;&gt;"",Nbal!HR60,KL60)</f>
        <v>125</v>
      </c>
      <c r="KN60" s="3">
        <f>KM60*Z60</f>
        <v>167.5</v>
      </c>
      <c r="KP60">
        <f>IF(VLOOKUP(R60,Afgr,Data!$CJ$3)&gt;0,VLOOKUP(R60,Afgr,Data!$CJ$3)*Data!$K$268*K60,0)*MaskJust</f>
        <v>420</v>
      </c>
      <c r="KQ60" s="3">
        <f>IF(Nbal!HX60&lt;&gt;"",Nbal!HX60,KP60)</f>
        <v>420</v>
      </c>
      <c r="KR60" s="3">
        <f>KQ60*Z60</f>
        <v>562.80000000000007</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1472.25</v>
      </c>
      <c r="LE60">
        <f>IF(VLOOKUP($R60,Afgr,Data!$CK$3)&gt;0,IF(AND($S60=2,$BA60&gt;0),Data!$K$271,0),0)</f>
        <v>0</v>
      </c>
      <c r="LF60">
        <f>IF(VLOOKUP($R60,Afgr,Data!$CK$3)&gt;0,(AM60/VLOOKUP($R60,Afgr,Data!$CK$3))*VLOOKUP($R60,Afgr,Data!$CO$3)*VLOOKUP($R60,Afgr,Data!$CN$3),0)</f>
        <v>2041.25</v>
      </c>
      <c r="LG60">
        <f>(LD60+LE60+LF60)*MaskJust</f>
        <v>3513.5</v>
      </c>
      <c r="LH60" s="3">
        <f>IF(Nbal!IV60&lt;&gt;"",Nbal!IV60,LG60)</f>
        <v>3513.5</v>
      </c>
      <c r="LI60" s="3">
        <f>LH60*Z60</f>
        <v>4708.09</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8520</v>
      </c>
      <c r="OE60">
        <f>JW60+MZ60</f>
        <v>3529.2</v>
      </c>
      <c r="OF60">
        <f>OD60-OE60</f>
        <v>4990.8</v>
      </c>
      <c r="OG60">
        <f>OF60*Z60</f>
        <v>6687.6720000000005</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1</v>
      </c>
      <c r="PR60">
        <f>IF(PQ60&gt;0,Z60,0)</f>
        <v>1.34</v>
      </c>
      <c r="PT60">
        <f>VLOOKUP($O60,Afgr,Data!$BT$3)</f>
        <v>1</v>
      </c>
      <c r="PU60" s="3">
        <f>PT60*Z60</f>
        <v>1.34</v>
      </c>
      <c r="PV60">
        <f>VLOOKUP($R60,Afgr,Data!$BT$3)</f>
        <v>1</v>
      </c>
      <c r="PW60" s="3">
        <f>PV60*Z60</f>
        <v>1.34</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7100</v>
      </c>
      <c r="QK60">
        <f>QJ60*Z60</f>
        <v>9514</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0</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0</v>
      </c>
      <c r="RO60">
        <v>2</v>
      </c>
      <c r="RP60">
        <f>(FF60)*RO60*0.01</f>
        <v>4.12</v>
      </c>
      <c r="RQ60">
        <v>7</v>
      </c>
      <c r="RR60">
        <f>CE60*RQ60*0.01</f>
        <v>0</v>
      </c>
      <c r="RS60">
        <v>7</v>
      </c>
      <c r="RT60">
        <f>(Regn2!CF60+Regn2!CG60)*RS60*0.01</f>
        <v>0</v>
      </c>
      <c r="RW60">
        <f>VLOOKUP(R60,Afgr,Data!$EE$3)</f>
        <v>0</v>
      </c>
      <c r="RX60" s="3">
        <f>RP60+RR60+RT60+RV60+RW60</f>
        <v>4.12</v>
      </c>
    </row>
    <row r="62" spans="1:492" x14ac:dyDescent="0.25">
      <c r="A62" s="214" t="str">
        <f>Nbal!B62</f>
        <v>31-0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35</v>
      </c>
      <c r="P62">
        <v>1</v>
      </c>
      <c r="Q62" t="b">
        <v>0</v>
      </c>
      <c r="R62">
        <v>35</v>
      </c>
      <c r="S62">
        <v>1</v>
      </c>
      <c r="T62">
        <v>1</v>
      </c>
      <c r="U62">
        <v>1</v>
      </c>
      <c r="V62">
        <v>1</v>
      </c>
      <c r="X62">
        <v>40</v>
      </c>
      <c r="Z62">
        <f>Nbal!AG62</f>
        <v>12.52</v>
      </c>
      <c r="AA62">
        <v>1</v>
      </c>
      <c r="AB62">
        <f>VLOOKUP($R62,Afgr,G62)</f>
        <v>159</v>
      </c>
      <c r="AC62">
        <f>VLOOKUP($O62,Afgr,Data!$AI$3)*VLOOKUP(R62,Afgr,Data!$AJ$3)</f>
        <v>0</v>
      </c>
      <c r="AD62">
        <f>IF($Q62,0,VLOOKUP($P62,Efgr,(Data!$W$53+$V$6-1)))</f>
        <v>0</v>
      </c>
      <c r="AE62">
        <f>AB62-AC62-AD62</f>
        <v>159</v>
      </c>
      <c r="AF62">
        <f>AE62*Z62</f>
        <v>1990.6799999999998</v>
      </c>
      <c r="AH62">
        <f>VLOOKUP(R62,Afgr,D62)</f>
        <v>81</v>
      </c>
      <c r="AI62">
        <f>VLOOKUP(O62,Afgr,Data!$AL$3)*VLOOKUP(R62,Afgr,E62)</f>
        <v>0</v>
      </c>
      <c r="AJ62">
        <f>VLOOKUP(P62,Efgr,(Data!$Y$53+I62))</f>
        <v>0</v>
      </c>
      <c r="AK62">
        <f>AH62+AI62+AJ62</f>
        <v>81</v>
      </c>
      <c r="AL62">
        <f>AH62+AI62+AJ62</f>
        <v>81</v>
      </c>
      <c r="AM62" s="3">
        <f>IF(Nbal!CK62&lt;&gt;"",Nbal!CK62,AL62)</f>
        <v>81</v>
      </c>
      <c r="AN62">
        <f>AM62*Z62</f>
        <v>1014.12</v>
      </c>
      <c r="AO62" t="str">
        <f>VLOOKUP(R62,Afgr,3)</f>
        <v>hkg</v>
      </c>
      <c r="AP62">
        <f>IF(AO62="FE",VLOOKUP($R62,Afgr,Data!$AV$3),0)</f>
        <v>0</v>
      </c>
      <c r="AR62">
        <f>VLOOKUP(R62,Afgr,4)</f>
        <v>145</v>
      </c>
      <c r="AS62" s="3">
        <f>IF(Nbal!CW62&lt;&gt;"",Nbal!CW62,AR62)</f>
        <v>145</v>
      </c>
      <c r="AT62" s="3">
        <f>AM62*AS62</f>
        <v>11745</v>
      </c>
      <c r="AU62" s="3">
        <f>AN62*AS62</f>
        <v>147047.4</v>
      </c>
      <c r="AW62">
        <f>VLOOKUP(R62,Afgr,Data!$AN$3)</f>
        <v>0</v>
      </c>
      <c r="AX62" s="3">
        <f>IF(Nbal!DC62&lt;&gt;"",Nbal!DC62,AW62)</f>
        <v>0</v>
      </c>
      <c r="AY62" s="3">
        <f>AX62*Z62</f>
        <v>0</v>
      </c>
      <c r="BA62">
        <f>VLOOKUP(R62,Afgr,H62)</f>
        <v>4700</v>
      </c>
      <c r="BB62">
        <f>IF(ISERROR(BA62*AM62/AK62),0,(BA62*AM62/AK62))</f>
        <v>4700</v>
      </c>
      <c r="BC62" s="3">
        <f>IF(Nbal!DI62&lt;&gt;"",Nbal!DI62,BB62)</f>
        <v>4700</v>
      </c>
      <c r="BD62">
        <f>BC62*Z62</f>
        <v>58844</v>
      </c>
      <c r="BG62">
        <f>IF($S62=1,BC62,0)</f>
        <v>4700</v>
      </c>
      <c r="BH62">
        <f>IF($S62=1,BD62,0)</f>
        <v>58844</v>
      </c>
      <c r="BI62">
        <f>VLOOKUP(R62,Afgr,Data!$AM$3)</f>
        <v>0.5</v>
      </c>
      <c r="BJ62">
        <f>IF(Nbal!DR62&lt;&gt;"",Nbal!DR62,BI62)</f>
        <v>0.5</v>
      </c>
      <c r="BK62">
        <f>BG62*BJ62</f>
        <v>2350</v>
      </c>
      <c r="BL62">
        <f>BH62*BJ62</f>
        <v>29422</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77</v>
      </c>
      <c r="CB62" s="2">
        <f>Nbal!DZ62</f>
        <v>0</v>
      </c>
      <c r="CC62" s="211">
        <f>Nbal!AT62+Nbal!DZ62</f>
        <v>77</v>
      </c>
      <c r="CD62" s="211">
        <f>Nbal!AX62</f>
        <v>0</v>
      </c>
      <c r="CE62">
        <f>Nbal!BH62</f>
        <v>0</v>
      </c>
      <c r="CF62" s="211">
        <f>Nbal!BM62</f>
        <v>116</v>
      </c>
      <c r="CG62" s="2">
        <f>Nbal!EI62</f>
        <v>0</v>
      </c>
      <c r="CH62" s="211">
        <f>Nbal!BM62+Nbal!EI62</f>
        <v>116</v>
      </c>
      <c r="CI62" s="211">
        <f>Nbal!BW62</f>
        <v>0</v>
      </c>
      <c r="CJ62" s="211">
        <f>Nbal!BH62*Nbal!BJ62*0.01</f>
        <v>0</v>
      </c>
      <c r="CK62" s="211">
        <f>(Nbal!BM62*Nbal!BP62*0.01)</f>
        <v>85.26</v>
      </c>
      <c r="CL62" s="211">
        <f>(Nbal!EI62*Nbal!EL62*0.01)</f>
        <v>0</v>
      </c>
      <c r="CM62" s="211">
        <f>(Nbal!BM62*Nbal!BP62*0.01)+(Nbal!EI62*Nbal!EL62*0.01)</f>
        <v>85.26</v>
      </c>
      <c r="CN62" s="211">
        <f>Nbal!BW62*Nbal!BY62*0.01</f>
        <v>0</v>
      </c>
      <c r="CO62">
        <f>Nbal!BT62+Nbal!ER62</f>
        <v>0</v>
      </c>
      <c r="CQ62">
        <f>Nbal!BA62</f>
        <v>0</v>
      </c>
      <c r="CR62">
        <f>Nbal!EC62</f>
        <v>0</v>
      </c>
      <c r="CS62">
        <f>(CQ62+CR62)*Z62</f>
        <v>0</v>
      </c>
      <c r="CT62">
        <f>Nbal!CB62</f>
        <v>23</v>
      </c>
      <c r="CU62">
        <f>Nbal!EV62</f>
        <v>0</v>
      </c>
      <c r="CV62">
        <f>(CT62+CU62)*Z62</f>
        <v>287.95999999999998</v>
      </c>
      <c r="CW62">
        <f>Nbal!BA62+Nbal!CB62+Nbal!EC62+Nbal!EV62</f>
        <v>23</v>
      </c>
      <c r="CY62">
        <f>Nbal!BD62</f>
        <v>0</v>
      </c>
      <c r="CZ62">
        <f>Nbal!EF62</f>
        <v>0</v>
      </c>
      <c r="DA62">
        <f>(CY62+CZ62)*Z62</f>
        <v>0</v>
      </c>
      <c r="DB62">
        <f>Nbal!CE62</f>
        <v>64</v>
      </c>
      <c r="DC62">
        <f>Nbal!EY62</f>
        <v>0</v>
      </c>
      <c r="DD62">
        <f>(DB62+DC62)*Z62</f>
        <v>801.28</v>
      </c>
      <c r="DE62">
        <f>Nbal!BD62+Nbal!CE62+Nbal!EF62+Nbal!EY62</f>
        <v>64</v>
      </c>
      <c r="DG62">
        <f>VLOOKUP($R62,Afgr,Data!$AW$3)</f>
        <v>10.7</v>
      </c>
      <c r="DH62">
        <f>IF($AO62="FE",$AM62*$AP62*$DG62*0.01,$AM62*100*$DM62*0.01*$DG62*0.01)</f>
        <v>736.69500000000005</v>
      </c>
      <c r="DI62">
        <f>IF(VLOOKUP(R62,Afgr,Data!$BO$3)=1,DH62,0)*Z62</f>
        <v>9223.4214000000011</v>
      </c>
      <c r="DJ62" s="12">
        <f>(BZ62+CC62+CJ62-AE62)*VLOOKUP($R62,Afgr,Data!$AX$3)</f>
        <v>-1.6400000000000001</v>
      </c>
      <c r="DK62">
        <f>DG62+DJ62</f>
        <v>9.0599999999999987</v>
      </c>
      <c r="DL62">
        <f>IF(Nbal!CQ62&lt;&gt;"",Nbal!CQ62,DK62)</f>
        <v>9.0599999999999987</v>
      </c>
      <c r="DM62">
        <f>VLOOKUP(R62,Afgr,Data!$AT$3)</f>
        <v>85</v>
      </c>
      <c r="DN62">
        <f>IF($AO62="FE",$AM62*$AP62*$DL62*0.01,$AM62*100*$DM62*0.01*DL62*0.01)</f>
        <v>623.78099999999995</v>
      </c>
      <c r="DO62">
        <f>IF(VLOOKUP(R62,Afgr,Data!$BO$3)=1,DN62,0)*Z62</f>
        <v>7809.7381199999991</v>
      </c>
      <c r="DP62">
        <f>IF(ISERROR(DN62/VLOOKUP(R62,Afgr,Data!$AY$3)),0,DN62/VLOOKUP(R62,Afgr,Data!$AY$3))</f>
        <v>109.43526315789472</v>
      </c>
      <c r="DQ62">
        <f>DP62*Z62</f>
        <v>1370.1294947368419</v>
      </c>
      <c r="DS62">
        <f>IF($AO62="FE",$AM62*$AP62*VLOOKUP($R62,Afgr,Data!$BC$3)*0.001,$AM62*100*$DM62*0.01*VLOOKUP($R62,Afgr,Data!$BC$3)*0.001)</f>
        <v>23.408999999999999</v>
      </c>
      <c r="DT62">
        <f>DS62*Z62</f>
        <v>293.08067999999997</v>
      </c>
      <c r="DV62">
        <f>IF($AO62="FE",$AM62*$AP62*VLOOKUP($R62,Afgr,Data!$BF$3)*0.001,$AM62*100*$DM62*0.01*VLOOKUP($R62,Afgr,Data!$BF$3)*0.001)</f>
        <v>33.048000000000002</v>
      </c>
      <c r="DW62">
        <f>DV62*Z62</f>
        <v>413.76096000000001</v>
      </c>
      <c r="DY62">
        <f>IF(ISERROR(VLOOKUP(R62,Afgr,Data!$AZ$3)*DL62/DG62),0,VLOOKUP(R62,Afgr,Data!$AZ$3)*DL62/DG62)</f>
        <v>2.804789719626168</v>
      </c>
      <c r="DZ62">
        <f>VLOOKUP(R62,Afgr,Data!$AU$3)</f>
        <v>85</v>
      </c>
      <c r="EA62">
        <f>IF($S62=1,$BC62*$DZ62*0.01*DY62*0.01,0)</f>
        <v>112.05134929906541</v>
      </c>
      <c r="EB62">
        <f>EA62/6.25</f>
        <v>17.928215887850467</v>
      </c>
      <c r="EC62">
        <f>EB62*Z62</f>
        <v>224.46126291588783</v>
      </c>
      <c r="EE62">
        <f>IF($S62=1,$BC62*$DZ62*0.01*VLOOKUP($R62,Afgr,Data!$BD$3)*0.001,0)</f>
        <v>3.5954999999999999</v>
      </c>
      <c r="EF62">
        <f>EE62*Z62</f>
        <v>45.015659999999997</v>
      </c>
      <c r="EH62">
        <f>IF($S62=1,$BC62*$DZ62*0.01*VLOOKUP($R62,Afgr,Data!$BG$3)*0.001,0)</f>
        <v>59.925000000000004</v>
      </c>
      <c r="EI62">
        <f>EH62*Z62</f>
        <v>750.26100000000008</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162.26</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77</v>
      </c>
      <c r="FG62" s="211">
        <f>FF62*Z62</f>
        <v>964.04</v>
      </c>
      <c r="FH62" s="211">
        <f>CE62+CH62+CO62</f>
        <v>116</v>
      </c>
      <c r="FI62" s="211">
        <f>FH62*Z62</f>
        <v>1452.32</v>
      </c>
      <c r="FJ62">
        <f>VLOOKUP($R62,Afgr,Data!$DK$3)*VLOOKUP($R62,Afgr,Data!$AT$3)*0.01*VLOOKUP($R62,Afgr,Data!$AW$3)*0.01/6.25</f>
        <v>2.3283199999999997</v>
      </c>
      <c r="FK62">
        <f>FJ62*Z62</f>
        <v>29.150566399999995</v>
      </c>
      <c r="FL62" s="4">
        <f>IF(R62&gt;1,Deposition,0)</f>
        <v>15</v>
      </c>
      <c r="FM62" s="4">
        <f>FL62*Z62</f>
        <v>187.79999999999998</v>
      </c>
      <c r="FN62">
        <f>FC62</f>
        <v>0</v>
      </c>
      <c r="FO62">
        <f>FN62*Z62</f>
        <v>0</v>
      </c>
      <c r="FP62" s="211">
        <f>SUM(FF62,FH62,FJ62,FL62,FN62)</f>
        <v>210.32831999999999</v>
      </c>
      <c r="FQ62">
        <f>DP62+EB62+EL62</f>
        <v>127.36347904574519</v>
      </c>
      <c r="FR62" s="3">
        <f>FP62-FQ62</f>
        <v>82.964840954254797</v>
      </c>
      <c r="FS62" s="19">
        <f>FP62*Z62</f>
        <v>2633.3105664</v>
      </c>
      <c r="FT62" s="19">
        <f>FQ62*Z62</f>
        <v>1594.5907576527297</v>
      </c>
      <c r="FU62" s="3">
        <f>FR62*Z62</f>
        <v>1038.71980874727</v>
      </c>
      <c r="FW62">
        <f>CW62</f>
        <v>23</v>
      </c>
      <c r="FX62">
        <f>FW62*Z62</f>
        <v>287.95999999999998</v>
      </c>
      <c r="FY62">
        <f>IX62+MB62</f>
        <v>27.0045</v>
      </c>
      <c r="FZ62">
        <f>FY62*Z62</f>
        <v>338.09634</v>
      </c>
      <c r="GA62">
        <f>FW62-FY62</f>
        <v>-4.0045000000000002</v>
      </c>
      <c r="GB62">
        <f>GA62*Z62</f>
        <v>-50.136339999999997</v>
      </c>
      <c r="GD62">
        <f>DE62</f>
        <v>64</v>
      </c>
      <c r="GE62">
        <f>GD62*Z62</f>
        <v>801.28</v>
      </c>
      <c r="GF62">
        <f>JE62+MH62</f>
        <v>92.973000000000013</v>
      </c>
      <c r="GG62">
        <f>GF62*Z62</f>
        <v>1164.02196</v>
      </c>
      <c r="GH62">
        <f>GD62-GF62</f>
        <v>-28.973000000000013</v>
      </c>
      <c r="GI62">
        <f>GH62*Z62</f>
        <v>-362.74196000000018</v>
      </c>
      <c r="GK62">
        <f>AA62</f>
        <v>1</v>
      </c>
      <c r="GL62" s="211">
        <f>FF62+FH62+FN62</f>
        <v>193</v>
      </c>
      <c r="GM62" s="211">
        <f>IF(R62=1,"",IF(GK62=1,GL62,""))</f>
        <v>193</v>
      </c>
      <c r="GN62" s="211" t="str">
        <f>IF(R62=1,"",IF(GK62=2,GL62,""))</f>
        <v/>
      </c>
      <c r="GO62" s="211" t="str">
        <f>IF(R62=1,"",IF(GK62=3,GL62,""))</f>
        <v/>
      </c>
      <c r="GP62" s="211" t="str">
        <f>IF(R62=1,"",IF(GK62=4,GL62,""))</f>
        <v/>
      </c>
      <c r="GQ62" s="149">
        <f>IF(OR(R62=1,VLOOKUP(R62,Afgr,Data!$BV$3)=1,VLOOKUP(R62,Afgr,Data!$BW$3)=1),0,IF(GK62=1,Nniveau1,IF(GK62=2,Nniveau2,IF(GK62=3,Nniveau3,IF(GK62=4,Nniveau4,GL62)))))</f>
        <v>197.65542292344122</v>
      </c>
      <c r="GR62" s="241">
        <v>0.32550000000000001</v>
      </c>
      <c r="GS62" s="6">
        <v>0</v>
      </c>
      <c r="GT62" s="149">
        <f>CC62+CM62</f>
        <v>162.26</v>
      </c>
      <c r="GU62" s="6">
        <f>$FN62</f>
        <v>0</v>
      </c>
      <c r="GV62" s="241">
        <v>0.25280000000000002</v>
      </c>
      <c r="GW62">
        <f>CO62</f>
        <v>0</v>
      </c>
      <c r="GX62" s="241">
        <v>0.376</v>
      </c>
      <c r="GY62" s="149">
        <f>CD62+CN62</f>
        <v>0</v>
      </c>
      <c r="GZ62" s="241">
        <f>IF(B62&gt;3,0.3539,1.0749)</f>
        <v>0.35389999999999999</v>
      </c>
      <c r="HA62" s="11">
        <f>$FQ62</f>
        <v>127.36347904574519</v>
      </c>
      <c r="HB62" s="241">
        <v>0.19359999999999999</v>
      </c>
      <c r="HC62" s="241">
        <f>VLOOKUP($R62,Afgr,Data!$DM$3)</f>
        <v>1</v>
      </c>
      <c r="HD62" s="24">
        <f>IF($HC62&gt;1,0,(VLOOKUP($X62,Afgr,Data!$DP$3)+IF(VLOOKUP($X62,Afgr,Data!$DP$3)=0,VLOOKUP($T62,Efgr,Data!$BI$53,0))))+IF(AND($HC62=7,VLOOKUP($X62,Afgr,Data!$DQ$3)=-2),-2,0)+IF(AND($HC62=6,VLOOKUP($T62,Efgr,Data!$BI$53)=2),8,0)</f>
        <v>0</v>
      </c>
      <c r="HE62" s="6">
        <f>VLOOKUP(SUM(HC62:HD62),Nlesafgr,3)</f>
        <v>0</v>
      </c>
      <c r="HF62" s="7">
        <f>VLOOKUP($O62,Afgr,Data!$DN$3)</f>
        <v>1</v>
      </c>
      <c r="HG62" s="24">
        <f>IF(HF62&gt;1,0,VLOOKUP($R62,Afgr,Data!$DO$3)+IF(VLOOKUP($R62,Afgr,Data!$DO$3)=1,0,VLOOKUP($P62,Efgr,Data!$BJ$53)))</f>
        <v>0</v>
      </c>
      <c r="HH62" s="6">
        <f>VLOOKUP(SUM(HF62:HG62),Nlesforfrugt,3)</f>
        <v>0</v>
      </c>
      <c r="HI62" s="241">
        <f>GR62*GQ62+GV62*(GT62+GU62)+GX62*GW62+GZ62*GY62-HB62*HA62+HE62+HH62</f>
        <v>80.698598618323842</v>
      </c>
      <c r="HJ62" s="241">
        <f>Nlesafskaering</f>
        <v>59.6</v>
      </c>
      <c r="HK62" s="241">
        <f>Teknologi1</f>
        <v>2455</v>
      </c>
      <c r="HL62" s="6">
        <v>2001</v>
      </c>
      <c r="HM62" s="241">
        <f>Teknologi2</f>
        <v>1962.2</v>
      </c>
      <c r="HN62" s="241">
        <f>Tandel</f>
        <v>0.54659999999999997</v>
      </c>
      <c r="HO62" s="241">
        <f>IF(OR(HI62&gt;0,HI62=0),HJ62+HK62/(HL62-HM62),HJ62+HK62/(HL62-HM62)+HN62*HI62)</f>
        <v>122.87319587628873</v>
      </c>
      <c r="HP62" s="241">
        <f>IF(HI62&gt;0,HI62,0.001)</f>
        <v>80.698598618323842</v>
      </c>
      <c r="HQ62" s="241">
        <v>1.5020000000000001E-3</v>
      </c>
      <c r="HR62" s="24">
        <f>IF(R62=1,0,VLOOKUP(PostnrNbal,AfstromData,VLOOKUP($R62,Afgr,Data!$DL$3)+IF(Jordtype1&lt;7,Jordtype1,6),FALSE)-VLOOKUP(T62,Efgr,Data!$AA$53))</f>
        <v>269.74999999999898</v>
      </c>
      <c r="HS62" s="24">
        <f>IF(Nbal!GA62&lt;&gt;"",Nbal!GA62,Regn2!HR62)</f>
        <v>269.74999999999898</v>
      </c>
      <c r="HT62" s="241">
        <v>5.5400000000000002E-4</v>
      </c>
      <c r="HU62" s="24">
        <f>IF(R62=1,0,VLOOKUP(PostnrNbal,AfstromData,VLOOKUP($O62,Afgr,Data!$DL$3)+IF(B62&lt;7,B62,6),FALSE)-VLOOKUP(P62,Efgr,Data!$AA$53))</f>
        <v>269.74999999999898</v>
      </c>
      <c r="HV62" s="24">
        <f>IF(Nbal!FU62&lt;&gt;"",Nbal!FU62,Regn2!HU62)</f>
        <v>269.74999999999898</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55.736748499446193</v>
      </c>
      <c r="ID62">
        <f>IC62*Z62</f>
        <v>697.82409121306637</v>
      </c>
      <c r="IE62">
        <f>IF(Nbal!GF62&lt;&gt;"",Nbal!GF62,RetentionNbal)</f>
        <v>65</v>
      </c>
      <c r="IF62">
        <f>IC62*(100-IE62)*0.01</f>
        <v>19.507861974806168</v>
      </c>
      <c r="IG62">
        <f>IF62*Z62</f>
        <v>244.23843192457321</v>
      </c>
      <c r="IH62" s="2">
        <f>HS62*10000</f>
        <v>2697499.9999999898</v>
      </c>
      <c r="II62" s="2">
        <f>IH62*Z62</f>
        <v>33772699.999999873</v>
      </c>
      <c r="IJ62">
        <f>IF(ISERROR(IC62*1000*1000/IH62),0,IC62*1000*1000/IH62)</f>
        <v>20.662372010916183</v>
      </c>
      <c r="IL62">
        <f>AT62+AX62+BK62+BU62</f>
        <v>14095</v>
      </c>
      <c r="IO62">
        <f>VLOOKUP(R62,Afgr,Data!$AP$3)*UdsaedJust</f>
        <v>578</v>
      </c>
      <c r="IP62" s="3">
        <f>IF(Nbal!GN62&lt;&gt;"",Nbal!GN62,IO62)</f>
        <v>578</v>
      </c>
      <c r="IQ62" s="3">
        <f>IP62*Z62</f>
        <v>7236.5599999999995</v>
      </c>
      <c r="IS62" s="3">
        <f>IF(HdgVaerdiNbal=1,(BZ62+CA62)*Npris,(BZ62+CA62+CJ62+CK62)*Npris)</f>
        <v>650.65</v>
      </c>
      <c r="IT62" s="3">
        <f>IS62*Z62</f>
        <v>8146.137999999999</v>
      </c>
      <c r="IV62">
        <f>VLOOKUP($R62,Afgr,Data!$BA$3)</f>
        <v>0</v>
      </c>
      <c r="IW62">
        <f>VLOOKUP($R62,Afgr,Data!$BB$3)</f>
        <v>0</v>
      </c>
      <c r="IX62">
        <f>$DS62+$EE62</f>
        <v>27.0045</v>
      </c>
      <c r="IY62">
        <f>CT62</f>
        <v>23</v>
      </c>
      <c r="IZ62">
        <f>CQ62</f>
        <v>0</v>
      </c>
      <c r="JA62" s="3">
        <f>IF(HdgVaerdiNbal=1,(IZ62)*Ppris,(IY62+IZ62)*Ppris)</f>
        <v>0</v>
      </c>
      <c r="JB62" s="3">
        <f>JA62*Z62</f>
        <v>0</v>
      </c>
      <c r="JD62">
        <f>IF(AND(R62&gt;1,OR(Jordtype1=1,Jordtype1=3,Markvand1=2)),Kudvask,0)</f>
        <v>0</v>
      </c>
      <c r="JE62">
        <f>$DV62+$EH62</f>
        <v>92.973000000000013</v>
      </c>
      <c r="JF62">
        <f>DB62</f>
        <v>64</v>
      </c>
      <c r="JG62">
        <f>CY62</f>
        <v>0</v>
      </c>
      <c r="JH62" s="3">
        <f>IF(HdgVaerdiNbal=1,JG62*Kpris,(JF62+JG62)*Kpris)</f>
        <v>0</v>
      </c>
      <c r="JI62" s="3">
        <f>JH62*Z62</f>
        <v>0</v>
      </c>
      <c r="JK62">
        <f>IS62+JA62+JH62</f>
        <v>650.65</v>
      </c>
      <c r="JL62" s="3">
        <f>IF(Nbal!GT62&lt;&gt;"",Nbal!GT62,$JK62)</f>
        <v>650.65</v>
      </c>
      <c r="JM62" s="3">
        <f>JL62*Z62</f>
        <v>8146.137999999999</v>
      </c>
      <c r="JO62">
        <f>VLOOKUP(R62,Afgr,Data!$AQ$3)*PlantevJust</f>
        <v>703</v>
      </c>
      <c r="JP62" s="3">
        <f>IF(Nbal!GZ62&lt;&gt;"",Nbal!GZ62,JO62)</f>
        <v>703</v>
      </c>
      <c r="JQ62" s="3">
        <f>JP62*Z62</f>
        <v>8801.56</v>
      </c>
      <c r="JS62">
        <f>VLOOKUP(R62,Afgr,Data!$AR$3)+AM62*VLOOKUP(R62,Afgr,Data!$BH$3)</f>
        <v>0</v>
      </c>
      <c r="JT62" s="3">
        <f>IF(Nbal!HF62&lt;&gt;"",Nbal!HF62,JS62)</f>
        <v>0</v>
      </c>
      <c r="JU62">
        <f>JT62*Z62</f>
        <v>0</v>
      </c>
      <c r="JW62">
        <f>IP62+JL62+JP62+JT62</f>
        <v>1931.65</v>
      </c>
      <c r="JY62">
        <f>IF(VLOOKUP(R62,Afgr,Data!$BY$3)&gt;0,Data!$K$259*J62,0)</f>
        <v>600</v>
      </c>
      <c r="JZ62">
        <f>IF(VLOOKUP(R62,Afgr,Data!$BZ$3)&gt;0,Data!$K$260*J62,0)</f>
        <v>0</v>
      </c>
      <c r="KA62">
        <f>(JY62+JZ62)*MaskJust</f>
        <v>600</v>
      </c>
      <c r="KB62" s="3">
        <f>IF(Nbal!HL62&lt;&gt;"",Nbal!HL62,KA62)</f>
        <v>600</v>
      </c>
      <c r="KC62" s="3">
        <f>KB62*Z62</f>
        <v>7512</v>
      </c>
      <c r="KE62">
        <f>IF(VLOOKUP(R62,Afgr,Data!$CA$3)&gt;0,VLOOKUP(R62,Afgr,Data!$CA$3)*Data!$K$261*K62,0)</f>
        <v>0</v>
      </c>
      <c r="KF62">
        <f>IF(VLOOKUP(R62,Afgr,Data!$CC$3)&gt;0,Data!$K$262*K62,0)</f>
        <v>350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350</v>
      </c>
      <c r="KM62" s="3">
        <f>IF(Nbal!HR62&lt;&gt;"",Nbal!HR62,KL62)</f>
        <v>350</v>
      </c>
      <c r="KN62" s="3">
        <f>KM62*Z62</f>
        <v>4382</v>
      </c>
      <c r="KP62">
        <f>IF(VLOOKUP(R62,Afgr,Data!$CJ$3)&gt;0,VLOOKUP(R62,Afgr,Data!$CJ$3)*Data!$K$268*K62,0)*MaskJust</f>
        <v>280</v>
      </c>
      <c r="KQ62" s="3">
        <f>IF(Nbal!HX62&lt;&gt;"",Nbal!HX62,KP62)</f>
        <v>280</v>
      </c>
      <c r="KR62" s="3">
        <f>KQ62*Z62</f>
        <v>3505.6</v>
      </c>
      <c r="KT62">
        <f>IF(VLOOKUP(R62,Afgr,Data!$CI$3)&gt;0,VLOOKUP(R62,Afgr,Data!$CI$3)*Data!$K$269,0)*MaskJust</f>
        <v>450</v>
      </c>
      <c r="KU62" s="3">
        <f>IF(Nbal!ID62&lt;&gt;"",Nbal!ID62,KT62)</f>
        <v>450</v>
      </c>
      <c r="KV62" s="3">
        <f>KU62*Z62</f>
        <v>5634</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878.82352941176464</v>
      </c>
      <c r="LE62">
        <f>IF(VLOOKUP($R62,Afgr,Data!$CK$3)&gt;0,IF(AND($S62=2,$BA62&gt;0),Data!$K$271,0),0)</f>
        <v>0</v>
      </c>
      <c r="LF62">
        <f>IF(VLOOKUP($R62,Afgr,Data!$CK$3)&gt;0,(AM62/VLOOKUP($R62,Afgr,Data!$CK$3))*VLOOKUP($R62,Afgr,Data!$CO$3)*VLOOKUP($R62,Afgr,Data!$CN$3),0)</f>
        <v>309.70588235294116</v>
      </c>
      <c r="LG62">
        <f>(LD62+LE62+LF62)*MaskJust</f>
        <v>1188.5294117647059</v>
      </c>
      <c r="LH62" s="3">
        <f>IF(Nbal!IV62&lt;&gt;"",Nbal!IV62,LG62)</f>
        <v>1188.5294117647059</v>
      </c>
      <c r="LI62" s="3">
        <f>LH62*Z62</f>
        <v>14880.388235294116</v>
      </c>
      <c r="LJ62" s="3"/>
      <c r="LK62">
        <f>IF(AND($S62=1,VLOOKUP($R62,Afgr,Data!$CP$3)&gt;0),((1+$BC62/VLOOKUP($R62,Afgr,Data!$CP$3))/2)*VLOOKUP($R62,Afgr,Data!$CQ$3),0)</f>
        <v>673.74999999999989</v>
      </c>
      <c r="LL62">
        <f>IF(AND($S62=1,VLOOKUP($R62,Afgr,Data!$CP$3)&gt;0),($BC62/VLOOKUP($R62,Afgr,Data!$CP$3))*VLOOKUP($R62,Afgr,Data!$CR$3),0)</f>
        <v>313.33333333333331</v>
      </c>
      <c r="LM62">
        <f>(LK62+LL62)*MaskJust</f>
        <v>987.08333333333326</v>
      </c>
      <c r="LN62" s="3">
        <f>IF(Nbal!JB62&lt;&gt;"",Nbal!JB62,LM62)</f>
        <v>987.08333333333326</v>
      </c>
      <c r="LO62" s="3">
        <f>LN62*Z62</f>
        <v>12358.283333333333</v>
      </c>
      <c r="LQ62">
        <f>$AM62*VLOOKUP($R62,Afgr,Data!$CS$3)*IF($V62=1,VLOOKUP($R62,Afgr,Data!$CT$3),IF($V62=2,VLOOKUP($R62,Afgr,Data!$CU$3),0))</f>
        <v>748.44</v>
      </c>
      <c r="LR62" s="3">
        <f>IF(Nbal!JK62&lt;&gt;"",Nbal!JK62,LQ62)</f>
        <v>748.44</v>
      </c>
      <c r="LS62" s="3">
        <f>LR62*Z62</f>
        <v>9370.4688000000006</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14095</v>
      </c>
      <c r="OE62">
        <f>JW62+MZ62</f>
        <v>1931.65</v>
      </c>
      <c r="OF62">
        <f>OD62-OE62</f>
        <v>12163.35</v>
      </c>
      <c r="OG62">
        <f>OF62*Z62</f>
        <v>152285.14199999999</v>
      </c>
      <c r="OJ62">
        <f>VLOOKUP($O62,Afgr,Data!$BP$3)+VLOOKUP($P62,Efgr,Data!$AM$53)</f>
        <v>1</v>
      </c>
      <c r="OK62" s="3">
        <f>OJ62*Z62</f>
        <v>12.52</v>
      </c>
      <c r="OL62">
        <f>VLOOKUP($R62,Afgr,Data!$BP$3)+VLOOKUP($T62,Efgr,Data!$AM$53)</f>
        <v>1</v>
      </c>
      <c r="OM62" s="3">
        <f>OL62*Z62</f>
        <v>12.52</v>
      </c>
      <c r="OO62">
        <f>VLOOKUP($P62,Efgr,Data!$AN$53)</f>
        <v>0</v>
      </c>
      <c r="OP62">
        <f>VLOOKUP($O62,Afgr,Data!$BQ$3)</f>
        <v>1</v>
      </c>
      <c r="OQ62">
        <f>VLOOKUP($R62,Afgr,Data!$BR$3)</f>
        <v>0</v>
      </c>
      <c r="OR62">
        <f>OO62*OP62*OQ62</f>
        <v>0</v>
      </c>
      <c r="OS62" s="3">
        <f>OR62*Z62</f>
        <v>0</v>
      </c>
      <c r="OT62" s="3">
        <f>IF(Q62,1,0)*OS62</f>
        <v>0</v>
      </c>
      <c r="OV62">
        <f>VLOOKUP($T62,Efgr,Data!$AN$53)</f>
        <v>0</v>
      </c>
      <c r="OW62">
        <f>VLOOKUP($R62,Afgr,Data!$BQ$3)</f>
        <v>1</v>
      </c>
      <c r="OX62">
        <f>VLOOKUP($X62,Afgr,Data!$BR$3)</f>
        <v>1</v>
      </c>
      <c r="OY62">
        <f>OV62*OW62*OX62</f>
        <v>0</v>
      </c>
      <c r="OZ62" s="3">
        <f>OY62*Z62</f>
        <v>0</v>
      </c>
      <c r="PB62">
        <f>VLOOKUP($T62,Efgr,Data!$AO$53)</f>
        <v>0</v>
      </c>
      <c r="PC62">
        <f>VLOOKUP($O62,Afgr,Data!$BQ$3)</f>
        <v>1</v>
      </c>
      <c r="PD62">
        <f>VLOOKUP($R62,Afgr,Data!$BS$3)</f>
        <v>1</v>
      </c>
      <c r="PE62" s="3">
        <f>PB62*PC62*PD62*$Z62</f>
        <v>0</v>
      </c>
      <c r="PG62">
        <f>VLOOKUP($T62,Efgr,Data!$AO$53)</f>
        <v>0</v>
      </c>
      <c r="PH62">
        <f>VLOOKUP($R62,Afgr,Data!$BQ$3)</f>
        <v>1</v>
      </c>
      <c r="PI62">
        <f>VLOOKUP($X62,Afgr,Data!$BS$3)</f>
        <v>0</v>
      </c>
      <c r="PJ62" s="3">
        <f>PG62*PH62*PI62*$Z62</f>
        <v>0</v>
      </c>
      <c r="PK62" s="3"/>
      <c r="PL62" s="3">
        <f>VLOOKUP($O62,Afgr,Data!$BU$3)</f>
        <v>0</v>
      </c>
      <c r="PM62" s="3">
        <f>PL62*Z62</f>
        <v>0</v>
      </c>
      <c r="PN62" s="3">
        <f>VLOOKUP($R62,Afgr,Data!$BU$3)</f>
        <v>0</v>
      </c>
      <c r="PO62" s="3">
        <f>PN62*Z62</f>
        <v>0</v>
      </c>
      <c r="PQ62">
        <f>VLOOKUP(R62,Afgr,Data!$BX$3)+VLOOKUP(T62,Efgr,Data!$AQ$53)</f>
        <v>1</v>
      </c>
      <c r="PR62">
        <f>IF(PQ62&gt;0,Z62,0)</f>
        <v>12.52</v>
      </c>
      <c r="PT62">
        <f>VLOOKUP($O62,Afgr,Data!$BT$3)</f>
        <v>1</v>
      </c>
      <c r="PU62" s="3">
        <f>PT62*Z62</f>
        <v>12.52</v>
      </c>
      <c r="PV62">
        <f>VLOOKUP($R62,Afgr,Data!$BT$3)</f>
        <v>1</v>
      </c>
      <c r="PW62" s="3">
        <f>PV62*Z62</f>
        <v>12.52</v>
      </c>
      <c r="PY62">
        <f>VLOOKUP($R62,Afgr,Data!$BV$3)</f>
        <v>0</v>
      </c>
      <c r="PZ62">
        <f>PY62*Z62</f>
        <v>0</v>
      </c>
      <c r="QB62">
        <f>VLOOKUP($R62,Afgr,Data!$BW$3)</f>
        <v>0</v>
      </c>
      <c r="QC62">
        <f>QB62*Z62</f>
        <v>0</v>
      </c>
      <c r="QE62">
        <f>AM62*IF(VLOOKUP($R62,Afgr,Data!$BJ$3)&gt;0,1,0)</f>
        <v>81</v>
      </c>
      <c r="QF62">
        <f>QE62*Z62</f>
        <v>1014.12</v>
      </c>
      <c r="QH62">
        <f>AM62*VLOOKUP(R62,Afgr,Data!$BK$3)</f>
        <v>8343</v>
      </c>
      <c r="QI62">
        <f>Z62*QH62</f>
        <v>104454.36</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116623.8</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3.08</v>
      </c>
      <c r="RJ62">
        <f>((CJ62+CK62+CL62+Regn2!CO62*0.7)-(RR62+RT62))*VLOOKUP(B62,Jordtype,Data!$AE$112+DenitNr-1)</f>
        <v>10.606750000000002</v>
      </c>
      <c r="RK62">
        <f>0*VLOOKUP(B62,Jordtype,Data!$AE$112+DenitNr-1)</f>
        <v>0</v>
      </c>
      <c r="RL62">
        <f>Regn2!FD62*VLOOKUP(B62,Jordtype,Data!$AH$112+DenitNr-1)</f>
        <v>0</v>
      </c>
      <c r="RM62" s="3">
        <f>RH62+RI62+RJ62+RK62+RL62</f>
        <v>20.936750000000004</v>
      </c>
      <c r="RO62">
        <v>2</v>
      </c>
      <c r="RP62">
        <f>(FF62)*RO62*0.01</f>
        <v>1.54</v>
      </c>
      <c r="RQ62">
        <v>7</v>
      </c>
      <c r="RR62">
        <f>CE62*RQ62*0.01</f>
        <v>0</v>
      </c>
      <c r="RS62">
        <v>7</v>
      </c>
      <c r="RT62">
        <f>(Regn2!CF62+Regn2!CG62)*RS62*0.01</f>
        <v>8.120000000000001</v>
      </c>
      <c r="RW62">
        <f>VLOOKUP(R62,Afgr,Data!$EE$3)</f>
        <v>5</v>
      </c>
      <c r="RX62" s="3">
        <f>RP62+RR62+RT62+RV62+RW62</f>
        <v>14.66</v>
      </c>
    </row>
    <row r="64" spans="1:492" x14ac:dyDescent="0.25">
      <c r="A64" s="214" t="str">
        <f>Nbal!B64</f>
        <v>33-0</v>
      </c>
      <c r="B64">
        <v>11</v>
      </c>
      <c r="C64">
        <v>1</v>
      </c>
      <c r="D64">
        <f>IF(C64=1,VLOOKUP(B64,Jordtype,Data!$K$112),VLOOKUP(B64,Jordtype,Data!$L$112))</f>
        <v>7</v>
      </c>
      <c r="E64">
        <f>IF(C64=1,VLOOKUP(B64,Jordtype,Data!$M$112),VLOOKUP(B64,Jordtype,Data!$N$112))</f>
        <v>12</v>
      </c>
      <c r="F64">
        <f>IF(OR(B64=1,B64=3),0,IF(OR(B64=2,B64=4),1,IF(OR(B64=5,B64=6),2,3)))</f>
        <v>3</v>
      </c>
      <c r="G64">
        <f>IF(C64=1,VLOOKUP(B64,Jordtype,Data!$Q$112),VLOOKUP(B64,Jordtype,Data!$R$112))</f>
        <v>23</v>
      </c>
      <c r="H64">
        <f>IF(C64=1,VLOOKUP(B64,Jordtype,Data!$O$112),VLOOKUP(B64,Jordtype,Data!$P$112))</f>
        <v>17</v>
      </c>
      <c r="I64">
        <f>IF(B64&lt;5,0,1)</f>
        <v>1</v>
      </c>
      <c r="J64">
        <f>IF(B64&lt;5,PlojJB,1)</f>
        <v>1</v>
      </c>
      <c r="K64">
        <f>IF(B64&lt;5,SaaJB,1)</f>
        <v>1</v>
      </c>
      <c r="L64">
        <f>IF(C64=1,VLOOKUP(B64,Jordtype,Data!$S$112),VLOOKUP(B64,Jordtype,Data!$T$112))</f>
        <v>6</v>
      </c>
      <c r="M64">
        <f>IF(C64=1,VLOOKUP(B64,Jordtype,Data!$U$112),VLOOKUP(B64,Jordtype,Data!$V$112))</f>
        <v>11</v>
      </c>
      <c r="O64">
        <v>19</v>
      </c>
      <c r="P64">
        <v>1</v>
      </c>
      <c r="Q64" t="b">
        <v>0</v>
      </c>
      <c r="R64">
        <v>19</v>
      </c>
      <c r="S64">
        <v>1</v>
      </c>
      <c r="T64">
        <v>1</v>
      </c>
      <c r="U64">
        <v>1</v>
      </c>
      <c r="V64">
        <v>1</v>
      </c>
      <c r="X64">
        <v>19</v>
      </c>
      <c r="Z64">
        <f>Nbal!AG64</f>
        <v>0.92</v>
      </c>
      <c r="AA64">
        <v>1</v>
      </c>
      <c r="AB64">
        <f>VLOOKUP($R64,Afgr,G64)</f>
        <v>321</v>
      </c>
      <c r="AC64">
        <f>VLOOKUP($O64,Afgr,Data!$AI$3)*VLOOKUP(R64,Afgr,Data!$AJ$3)</f>
        <v>0</v>
      </c>
      <c r="AD64">
        <f>IF($Q64,0,VLOOKUP($P64,Efgr,(Data!$W$53+$V$6-1)))</f>
        <v>0</v>
      </c>
      <c r="AE64">
        <f>AB64-AC64-AD64</f>
        <v>321</v>
      </c>
      <c r="AF64">
        <f>AE64*Z64</f>
        <v>295.32</v>
      </c>
      <c r="AH64">
        <f>VLOOKUP(R64,Afgr,D64)</f>
        <v>7100</v>
      </c>
      <c r="AI64">
        <f>VLOOKUP(O64,Afgr,Data!$AL$3)*VLOOKUP(R64,Afgr,E64)</f>
        <v>0</v>
      </c>
      <c r="AJ64">
        <f>VLOOKUP(P64,Efgr,(Data!$Y$53+I64))</f>
        <v>0</v>
      </c>
      <c r="AK64">
        <f>AH64+AI64+AJ64</f>
        <v>7100</v>
      </c>
      <c r="AL64">
        <f>AH64+AI64+AJ64</f>
        <v>7100</v>
      </c>
      <c r="AM64" s="3">
        <f>IF(Nbal!CK64&lt;&gt;"",Nbal!CK64,AL64)</f>
        <v>7100</v>
      </c>
      <c r="AN64">
        <f>AM64*Z64</f>
        <v>6532</v>
      </c>
      <c r="AO64" t="str">
        <f>VLOOKUP(R64,Afgr,3)</f>
        <v>FE</v>
      </c>
      <c r="AP64">
        <f>IF(AO64="FE",VLOOKUP($R64,Afgr,Data!$AV$3),0)</f>
        <v>1.24</v>
      </c>
      <c r="AR64">
        <f>VLOOKUP(R64,Afgr,4)</f>
        <v>1.2</v>
      </c>
      <c r="AS64" s="3">
        <f>IF(Nbal!CW64&lt;&gt;"",Nbal!CW64,AR64)</f>
        <v>1.2</v>
      </c>
      <c r="AT64" s="3">
        <f>AM64*AS64</f>
        <v>8520</v>
      </c>
      <c r="AU64" s="3">
        <f>AN64*AS64</f>
        <v>7838.4</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16.3125</v>
      </c>
      <c r="DH64">
        <f>IF($AO64="FE",$AM64*$AP64*$DG64*0.01,$AM64*100*$DM64*0.01*$DG64*0.01)</f>
        <v>1436.1524999999999</v>
      </c>
      <c r="DI64">
        <f>IF(VLOOKUP(R64,Afgr,Data!$BO$3)=1,DH64,0)*Z64</f>
        <v>0</v>
      </c>
      <c r="DJ64" s="12">
        <f>(BZ64+CC64+CJ64-AE64)*VLOOKUP($R64,Afgr,Data!$AX$3)</f>
        <v>0</v>
      </c>
      <c r="DK64">
        <f>DG64+DJ64</f>
        <v>16.3125</v>
      </c>
      <c r="DL64">
        <f>IF(Nbal!CQ64&lt;&gt;"",Nbal!CQ64,DK64)</f>
        <v>16.3125</v>
      </c>
      <c r="DM64">
        <f>VLOOKUP(R64,Afgr,Data!$AT$3)</f>
        <v>0</v>
      </c>
      <c r="DN64">
        <f>IF($AO64="FE",$AM64*$AP64*$DL64*0.01,$AM64*100*$DM64*0.01*DL64*0.01)</f>
        <v>1436.1524999999999</v>
      </c>
      <c r="DO64">
        <f>IF(VLOOKUP(R64,Afgr,Data!$BO$3)=1,DN64,0)*Z64</f>
        <v>0</v>
      </c>
      <c r="DP64">
        <f>IF(ISERROR(DN64/VLOOKUP(R64,Afgr,Data!$AY$3)),0,DN64/VLOOKUP(R64,Afgr,Data!$AY$3))</f>
        <v>229.78439999999998</v>
      </c>
      <c r="DQ64">
        <f>DP64*Z64</f>
        <v>211.40164799999999</v>
      </c>
      <c r="DS64">
        <f>IF($AO64="FE",$AM64*$AP64*VLOOKUP($R64,Afgr,Data!$BC$3)*0.001,$AM64*100*$DM64*0.01*VLOOKUP($R64,Afgr,Data!$BC$3)*0.001)</f>
        <v>32.574800000000003</v>
      </c>
      <c r="DT64">
        <f>DS64*Z64</f>
        <v>29.968816000000004</v>
      </c>
      <c r="DV64">
        <f>IF($AO64="FE",$AM64*$AP64*VLOOKUP($R64,Afgr,Data!$BF$3)*0.001,$AM64*100*$DM64*0.01*VLOOKUP($R64,Afgr,Data!$BF$3)*0.001)</f>
        <v>255.316</v>
      </c>
      <c r="DW64">
        <f>DV64*Z64</f>
        <v>234.89072000000002</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194.68199999999999</v>
      </c>
      <c r="FA64" s="2">
        <f>CB64+CL64</f>
        <v>0</v>
      </c>
      <c r="FB64">
        <f>IF(VLOOKUP($T64,Efgr,Data!$BH$53)=5,($BR64*0.02742-$BR64*0.0001*$FA64+$BR64*0.0000001111*$FA64*$FA64),0)</f>
        <v>0</v>
      </c>
      <c r="FC64" s="3">
        <f>EU64+EV64+EW64+EX64+EZ64+FB64</f>
        <v>194.68199999999999</v>
      </c>
      <c r="FD64" s="3">
        <f>FC64*Z64</f>
        <v>179.10744</v>
      </c>
      <c r="FF64" s="211">
        <f>BZ64+CC64</f>
        <v>0</v>
      </c>
      <c r="FG64" s="211">
        <f>FF64*Z64</f>
        <v>0</v>
      </c>
      <c r="FH64" s="211">
        <f>CE64+CH64+CO64</f>
        <v>0</v>
      </c>
      <c r="FI64" s="211">
        <f>FH64*Z64</f>
        <v>0</v>
      </c>
      <c r="FJ64">
        <f>VLOOKUP($R64,Afgr,Data!$DK$3)*VLOOKUP($R64,Afgr,Data!$AT$3)*0.01*VLOOKUP($R64,Afgr,Data!$AW$3)*0.01/6.25</f>
        <v>0</v>
      </c>
      <c r="FK64">
        <f>FJ64*Z64</f>
        <v>0</v>
      </c>
      <c r="FL64" s="4">
        <f>IF(R64&gt;1,Deposition,0)</f>
        <v>15</v>
      </c>
      <c r="FM64" s="4">
        <f>FL64*Z64</f>
        <v>13.8</v>
      </c>
      <c r="FN64">
        <f>FC64</f>
        <v>194.68199999999999</v>
      </c>
      <c r="FO64">
        <f>FN64*Z64</f>
        <v>179.10744</v>
      </c>
      <c r="FP64" s="211">
        <f>SUM(FF64,FH64,FJ64,FL64,FN64)</f>
        <v>209.68199999999999</v>
      </c>
      <c r="FQ64">
        <f>DP64+EB64+EL64</f>
        <v>229.78439999999998</v>
      </c>
      <c r="FR64" s="3">
        <f>FP64-FQ64</f>
        <v>-20.102399999999989</v>
      </c>
      <c r="FS64" s="19">
        <f>FP64*Z64</f>
        <v>192.90744000000001</v>
      </c>
      <c r="FT64" s="19">
        <f>FQ64*Z64</f>
        <v>211.40164799999999</v>
      </c>
      <c r="FU64" s="3">
        <f>FR64*Z64</f>
        <v>-18.49420799999999</v>
      </c>
      <c r="FW64">
        <f>CW64</f>
        <v>0</v>
      </c>
      <c r="FX64">
        <f>FW64*Z64</f>
        <v>0</v>
      </c>
      <c r="FY64">
        <f>IX64+MB64</f>
        <v>32.574800000000003</v>
      </c>
      <c r="FZ64">
        <f>FY64*Z64</f>
        <v>29.968816000000004</v>
      </c>
      <c r="GA64">
        <f>FW64-FY64</f>
        <v>-32.574800000000003</v>
      </c>
      <c r="GB64">
        <f>GA64*Z64</f>
        <v>-29.968816000000004</v>
      </c>
      <c r="GD64">
        <f>DE64</f>
        <v>0</v>
      </c>
      <c r="GE64">
        <f>GD64*Z64</f>
        <v>0</v>
      </c>
      <c r="GF64">
        <f>JE64+MH64</f>
        <v>255.316</v>
      </c>
      <c r="GG64">
        <f>GF64*Z64</f>
        <v>234.89072000000002</v>
      </c>
      <c r="GH64">
        <f>GD64-GF64</f>
        <v>-255.316</v>
      </c>
      <c r="GI64">
        <f>GH64*Z64</f>
        <v>-234.89072000000002</v>
      </c>
      <c r="GK64">
        <f>AA64</f>
        <v>1</v>
      </c>
      <c r="GL64" s="211">
        <f>FF64+FH64+FN64</f>
        <v>194.68199999999999</v>
      </c>
      <c r="GM64" s="211">
        <f>IF(R64=1,"",IF(GK64=1,GL64,""))</f>
        <v>194.68199999999999</v>
      </c>
      <c r="GN64" s="211" t="str">
        <f>IF(R64=1,"",IF(GK64=2,GL64,""))</f>
        <v/>
      </c>
      <c r="GO64" s="211" t="str">
        <f>IF(R64=1,"",IF(GK64=3,GL64,""))</f>
        <v/>
      </c>
      <c r="GP64" s="211" t="str">
        <f>IF(R64=1,"",IF(GK64=4,GL64,""))</f>
        <v/>
      </c>
      <c r="GQ64" s="149">
        <f>IF(OR(R64=1,VLOOKUP(R64,Afgr,Data!$BV$3)=1,VLOOKUP(R64,Afgr,Data!$BW$3)=1),0,IF(GK64=1,Nniveau1,IF(GK64=2,Nniveau2,IF(GK64=3,Nniveau3,IF(GK64=4,Nniveau4,GL64)))))</f>
        <v>197.65542292344122</v>
      </c>
      <c r="GR64" s="241">
        <v>0.32550000000000001</v>
      </c>
      <c r="GS64" s="6">
        <v>0</v>
      </c>
      <c r="GT64" s="149">
        <f>CC64+CM64</f>
        <v>0</v>
      </c>
      <c r="GU64" s="6">
        <f>$FN64</f>
        <v>194.68199999999999</v>
      </c>
      <c r="GV64" s="241">
        <v>0.25280000000000002</v>
      </c>
      <c r="GW64">
        <f>CO64</f>
        <v>0</v>
      </c>
      <c r="GX64" s="241">
        <v>0.376</v>
      </c>
      <c r="GY64" s="149">
        <f>CD64+CN64</f>
        <v>0</v>
      </c>
      <c r="GZ64" s="241">
        <f>IF(B64&gt;3,0.3539,1.0749)</f>
        <v>0.35389999999999999</v>
      </c>
      <c r="HA64" s="11">
        <f>$FQ64</f>
        <v>229.78439999999998</v>
      </c>
      <c r="HB64" s="241">
        <v>0.19359999999999999</v>
      </c>
      <c r="HC64" s="241">
        <f>VLOOKUP($R64,Afgr,Data!$DM$3)</f>
        <v>7</v>
      </c>
      <c r="HD64" s="24">
        <f>IF($HC64&gt;1,0,(VLOOKUP($X64,Afgr,Data!$DP$3)+IF(VLOOKUP($X64,Afgr,Data!$DP$3)=0,VLOOKUP($T64,Efgr,Data!$BI$53,0))))+IF(AND($HC64=7,VLOOKUP($X64,Afgr,Data!$DQ$3)=-2),-2,0)+IF(AND($HC64=6,VLOOKUP($T64,Efgr,Data!$BI$53)=2),8,0)</f>
        <v>0</v>
      </c>
      <c r="HE64" s="6">
        <f>VLOOKUP(SUM(HC64:HD64),Nlesafgr,3)</f>
        <v>-165.7</v>
      </c>
      <c r="HF64" s="7">
        <f>VLOOKUP($O64,Afgr,Data!$DN$3)</f>
        <v>4</v>
      </c>
      <c r="HG64" s="24">
        <f>IF(HF64&gt;1,0,VLOOKUP($R64,Afgr,Data!$DO$3)+IF(VLOOKUP($R64,Afgr,Data!$DO$3)=1,0,VLOOKUP($P64,Efgr,Data!$BJ$53)))</f>
        <v>0</v>
      </c>
      <c r="HH64" s="6">
        <f>VLOOKUP(SUM(HF64:HG64),Nlesforfrugt,3)</f>
        <v>34.700000000000003</v>
      </c>
      <c r="HI64" s="241">
        <f>GR64*GQ64+GV64*(GT64+GU64)+GX64*GW64+GZ64*GY64-HB64*HA64+HE64+HH64</f>
        <v>-61.933810078419882</v>
      </c>
      <c r="HJ64" s="241">
        <f>Nlesafskaering</f>
        <v>59.6</v>
      </c>
      <c r="HK64" s="241">
        <f>Teknologi1</f>
        <v>2455</v>
      </c>
      <c r="HL64" s="6">
        <v>2001</v>
      </c>
      <c r="HM64" s="241">
        <f>Teknologi2</f>
        <v>1962.2</v>
      </c>
      <c r="HN64" s="241">
        <f>Tandel</f>
        <v>0.54659999999999997</v>
      </c>
      <c r="HO64" s="241">
        <f>IF(OR(HI64&gt;0,HI64=0),HJ64+HK64/(HL64-HM64),HJ64+HK64/(HL64-HM64)+HN64*HI64)</f>
        <v>89.020175287424422</v>
      </c>
      <c r="HP64" s="241">
        <f>IF(HI64&gt;0,HI64,0.001)</f>
        <v>1E-3</v>
      </c>
      <c r="HQ64" s="241">
        <v>1.5020000000000001E-3</v>
      </c>
      <c r="HR64" s="24">
        <f>IF(R64=1,0,VLOOKUP(PostnrNbal,AfstromData,VLOOKUP($R64,Afgr,Data!$DL$3)+IF(Jordtype1&lt;7,Jordtype1,6),FALSE)-VLOOKUP(T64,Efgr,Data!$AA$53))</f>
        <v>272.32333333333298</v>
      </c>
      <c r="HS64" s="24">
        <f>IF(Nbal!GA64&lt;&gt;"",Nbal!GA64,Regn2!HR64)</f>
        <v>272.32333333333298</v>
      </c>
      <c r="HT64" s="241">
        <v>5.5400000000000002E-4</v>
      </c>
      <c r="HU64" s="24">
        <f>IF(R64=1,0,VLOOKUP(PostnrNbal,AfstromData,VLOOKUP($O64,Afgr,Data!$DL$3)+IF(B64&lt;7,B64,6),FALSE)-VLOOKUP(P64,Efgr,Data!$AA$53))</f>
        <v>272.32333333333298</v>
      </c>
      <c r="HV64" s="24">
        <f>IF(Nbal!FU64&lt;&gt;"",Nbal!FU64,Regn2!HU64)</f>
        <v>272.32333333333298</v>
      </c>
      <c r="HW64" s="241">
        <v>0.10639999999999999</v>
      </c>
      <c r="HX64" s="6">
        <f>VLOOKUP(B64,Jordtype,Data!$W$112)</f>
        <v>26</v>
      </c>
      <c r="HY64" s="241">
        <v>3.2500000000000001E-2</v>
      </c>
      <c r="HZ64" s="6">
        <f>VLOOKUP(B64,Jordtype,Data!$X$112)</f>
        <v>5</v>
      </c>
      <c r="IA64" s="241">
        <v>1.2453000000000001</v>
      </c>
      <c r="IB64" s="241">
        <f>IF(VLOOKUP(T64,Efgr,Data!$AO$53)=1,MlafgrNUdvask,0)</f>
        <v>0</v>
      </c>
      <c r="IC64" s="20">
        <f>IF(ISERROR((HO64+POWER(HP64,1.2))*(1-EXP(-HQ64*HS64))*EXP(-HT64*HV64)*EXP(-HW64*HX64)*EXP(-HY64*HZ64)*IA64),0,(HO64+POWER(HP64,1.2))*(1-EXP(-HQ64*HS64))*EXP(-HT64*HV64)*EXP(-HW64*HX64)*EXP(-HY64*HZ64)*IA64+IB64)</f>
        <v>1.7107880085107603</v>
      </c>
      <c r="ID64">
        <f>IC64*Z64</f>
        <v>1.5739249678298994</v>
      </c>
      <c r="IE64">
        <f>IF(Nbal!GF64&lt;&gt;"",Nbal!GF64,RetentionNbal)</f>
        <v>65</v>
      </c>
      <c r="IF64">
        <f>IC64*(100-IE64)*0.01</f>
        <v>0.59877580297876609</v>
      </c>
      <c r="IG64">
        <f>IF64*Z64</f>
        <v>0.55087373874046486</v>
      </c>
      <c r="IH64" s="2">
        <f>HS64*10000</f>
        <v>2723233.3333333298</v>
      </c>
      <c r="II64" s="2">
        <f>IH64*Z64</f>
        <v>2505374.6666666637</v>
      </c>
      <c r="IJ64">
        <f>IF(ISERROR(IC64*1000*1000/IH64),0,IC64*1000*1000/IH64)</f>
        <v>0.62821939918629666</v>
      </c>
      <c r="IL64">
        <f>AT64+AX64+BK64+BU64</f>
        <v>8520</v>
      </c>
      <c r="IO64">
        <f>VLOOKUP(R64,Afgr,Data!$AP$3)*UdsaedJust</f>
        <v>420</v>
      </c>
      <c r="IP64" s="3">
        <f>IF(Nbal!GN64&lt;&gt;"",Nbal!GN64,IO64)</f>
        <v>420</v>
      </c>
      <c r="IQ64" s="3">
        <f>IP64*Z64</f>
        <v>386.40000000000003</v>
      </c>
      <c r="IS64" s="3">
        <f>IF(HdgVaerdiNbal=1,(BZ64+CA64)*Npris,(BZ64+CA64+CJ64+CK64)*Npris)</f>
        <v>0</v>
      </c>
      <c r="IT64" s="3">
        <f>IS64*Z64</f>
        <v>0</v>
      </c>
      <c r="IV64">
        <f>VLOOKUP($R64,Afgr,Data!$BA$3)</f>
        <v>0</v>
      </c>
      <c r="IW64">
        <f>VLOOKUP($R64,Afgr,Data!$BB$3)</f>
        <v>0</v>
      </c>
      <c r="IX64">
        <f>$DS64+$EE64</f>
        <v>32.574800000000003</v>
      </c>
      <c r="IY64">
        <f>CT64</f>
        <v>0</v>
      </c>
      <c r="IZ64">
        <f>CQ64</f>
        <v>0</v>
      </c>
      <c r="JA64" s="3">
        <f>IF(HdgVaerdiNbal=1,(IZ64)*Ppris,(IY64+IZ64)*Ppris)</f>
        <v>0</v>
      </c>
      <c r="JB64" s="3">
        <f>JA64*Z64</f>
        <v>0</v>
      </c>
      <c r="JD64">
        <f>IF(AND(R64&gt;1,OR(Jordtype1=1,Jordtype1=3,Markvand1=2)),Kudvask,0)</f>
        <v>0</v>
      </c>
      <c r="JE64">
        <f>$DV64+$EH64</f>
        <v>255.316</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369.2</v>
      </c>
      <c r="JT64" s="3">
        <f>IF(Nbal!HF64&lt;&gt;"",Nbal!HF64,JS64)</f>
        <v>369.2</v>
      </c>
      <c r="JU64">
        <f>JT64*Z64</f>
        <v>339.66399999999999</v>
      </c>
      <c r="JW64">
        <f>IP64+JL64+JP64+JT64</f>
        <v>789.2</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125</v>
      </c>
      <c r="KH64">
        <f>IF(VLOOKUP(R64,Afgr,Data!$CE$3)&gt;0,Data!$K$264*K64,0)</f>
        <v>0</v>
      </c>
      <c r="KI64">
        <f>IF(VLOOKUP(R64,Afgr,Data!$CF$3)&gt;0,Data!$K$265*K64,0)</f>
        <v>0</v>
      </c>
      <c r="KJ64">
        <f>IF(VLOOKUP(R64,Afgr,Data!$CV$3)&gt;0,Data!$K$266,0)</f>
        <v>0</v>
      </c>
      <c r="KK64">
        <f>IF(VLOOKUP(R64,Afgr,Data!$CG$3)&gt;0,Data!$K$267*K64,0)</f>
        <v>0</v>
      </c>
      <c r="KL64">
        <f>(KE64+KF64+KG64+KH64+KI64+KJ64+KK64)*MaskJust</f>
        <v>125</v>
      </c>
      <c r="KM64" s="3">
        <f>IF(Nbal!HR64&lt;&gt;"",Nbal!HR64,KL64)</f>
        <v>125</v>
      </c>
      <c r="KN64" s="3">
        <f>KM64*Z64</f>
        <v>115</v>
      </c>
      <c r="KP64">
        <f>IF(VLOOKUP(R64,Afgr,Data!$CJ$3)&gt;0,VLOOKUP(R64,Afgr,Data!$CJ$3)*Data!$K$268*K64,0)*MaskJust</f>
        <v>420</v>
      </c>
      <c r="KQ64" s="3">
        <f>IF(Nbal!HX64&lt;&gt;"",Nbal!HX64,KP64)</f>
        <v>420</v>
      </c>
      <c r="KR64" s="3">
        <f>KQ64*Z64</f>
        <v>386.40000000000003</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1472.25</v>
      </c>
      <c r="LE64">
        <f>IF(VLOOKUP($R64,Afgr,Data!$CK$3)&gt;0,IF(AND($S64=2,$BA64&gt;0),Data!$K$271,0),0)</f>
        <v>0</v>
      </c>
      <c r="LF64">
        <f>IF(VLOOKUP($R64,Afgr,Data!$CK$3)&gt;0,(AM64/VLOOKUP($R64,Afgr,Data!$CK$3))*VLOOKUP($R64,Afgr,Data!$CO$3)*VLOOKUP($R64,Afgr,Data!$CN$3),0)</f>
        <v>2041.25</v>
      </c>
      <c r="LG64">
        <f>(LD64+LE64+LF64)*MaskJust</f>
        <v>3513.5</v>
      </c>
      <c r="LH64" s="3">
        <f>IF(Nbal!IV64&lt;&gt;"",Nbal!IV64,LG64)</f>
        <v>3513.5</v>
      </c>
      <c r="LI64" s="3">
        <f>LH64*Z64</f>
        <v>3232.42</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8520</v>
      </c>
      <c r="OE64">
        <f>JW64+MZ64</f>
        <v>789.2</v>
      </c>
      <c r="OF64">
        <f>OD64-OE64</f>
        <v>7730.8</v>
      </c>
      <c r="OG64">
        <f>OF64*Z64</f>
        <v>7112.3360000000002</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1</v>
      </c>
      <c r="PR64">
        <f>IF(PQ64&gt;0,Z64,0)</f>
        <v>0.92</v>
      </c>
      <c r="PT64">
        <f>VLOOKUP($O64,Afgr,Data!$BT$3)</f>
        <v>1</v>
      </c>
      <c r="PU64" s="3">
        <f>PT64*Z64</f>
        <v>0.92</v>
      </c>
      <c r="PV64">
        <f>VLOOKUP($R64,Afgr,Data!$BT$3)</f>
        <v>1</v>
      </c>
      <c r="PW64" s="3">
        <f>PV64*Z64</f>
        <v>0.92</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7100</v>
      </c>
      <c r="QK64">
        <f>QJ64*Z64</f>
        <v>6532</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0</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0</v>
      </c>
      <c r="RO64">
        <v>2</v>
      </c>
      <c r="RP64">
        <f>(FF64)*RO64*0.01</f>
        <v>0</v>
      </c>
      <c r="RQ64">
        <v>7</v>
      </c>
      <c r="RR64">
        <f>CE64*RQ64*0.01</f>
        <v>0</v>
      </c>
      <c r="RS64">
        <v>7</v>
      </c>
      <c r="RT64">
        <f>(Regn2!CF64+Regn2!CG64)*RS64*0.01</f>
        <v>0</v>
      </c>
      <c r="RW64">
        <f>VLOOKUP(R64,Afgr,Data!$EE$3)</f>
        <v>0</v>
      </c>
      <c r="RX64" s="3">
        <f>RP64+RR64+RT64+RV64+RW64</f>
        <v>0</v>
      </c>
    </row>
    <row r="66" spans="1:492" x14ac:dyDescent="0.25">
      <c r="A66" s="214" t="str">
        <f>Nbal!B66</f>
        <v>47-0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19</v>
      </c>
      <c r="P66">
        <v>1</v>
      </c>
      <c r="Q66" t="b">
        <v>0</v>
      </c>
      <c r="R66">
        <v>19</v>
      </c>
      <c r="S66">
        <v>1</v>
      </c>
      <c r="T66">
        <v>1</v>
      </c>
      <c r="U66">
        <v>1</v>
      </c>
      <c r="V66">
        <v>1</v>
      </c>
      <c r="X66">
        <v>40</v>
      </c>
      <c r="Z66">
        <f>Nbal!AG66</f>
        <v>6.29</v>
      </c>
      <c r="AA66">
        <v>1</v>
      </c>
      <c r="AB66">
        <f>VLOOKUP($R66,Afgr,G66)</f>
        <v>330</v>
      </c>
      <c r="AC66">
        <f>VLOOKUP($O66,Afgr,Data!$AI$3)*VLOOKUP(R66,Afgr,Data!$AJ$3)</f>
        <v>0</v>
      </c>
      <c r="AD66">
        <f>IF($Q66,0,VLOOKUP($P66,Efgr,(Data!$W$53+$V$6-1)))</f>
        <v>0</v>
      </c>
      <c r="AE66">
        <f>AB66-AC66-AD66</f>
        <v>330</v>
      </c>
      <c r="AF66">
        <f>AE66*Z66</f>
        <v>2075.6999999999998</v>
      </c>
      <c r="AH66">
        <f>VLOOKUP(R66,Afgr,D66)</f>
        <v>7600</v>
      </c>
      <c r="AI66">
        <f>VLOOKUP(O66,Afgr,Data!$AL$3)*VLOOKUP(R66,Afgr,E66)</f>
        <v>0</v>
      </c>
      <c r="AJ66">
        <f>VLOOKUP(P66,Efgr,(Data!$Y$53+I66))</f>
        <v>0</v>
      </c>
      <c r="AK66">
        <f>AH66+AI66+AJ66</f>
        <v>7600</v>
      </c>
      <c r="AL66">
        <f>AH66+AI66+AJ66</f>
        <v>7600</v>
      </c>
      <c r="AM66" s="3">
        <f>IF(Nbal!CK66&lt;&gt;"",Nbal!CK66,AL66)</f>
        <v>7600</v>
      </c>
      <c r="AN66">
        <f>AM66*Z66</f>
        <v>47804</v>
      </c>
      <c r="AO66" t="str">
        <f>VLOOKUP(R66,Afgr,3)</f>
        <v>FE</v>
      </c>
      <c r="AP66">
        <f>IF(AO66="FE",VLOOKUP($R66,Afgr,Data!$AV$3),0)</f>
        <v>1.24</v>
      </c>
      <c r="AR66">
        <f>VLOOKUP(R66,Afgr,4)</f>
        <v>1.2</v>
      </c>
      <c r="AS66" s="3">
        <f>IF(Nbal!CW66&lt;&gt;"",Nbal!CW66,AR66)</f>
        <v>1.2</v>
      </c>
      <c r="AT66" s="3">
        <f>AM66*AS66</f>
        <v>9120</v>
      </c>
      <c r="AU66" s="3">
        <f>AN66*AS66</f>
        <v>57364.799999999996</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40</v>
      </c>
      <c r="CB66" s="2">
        <f>Nbal!DZ66</f>
        <v>0</v>
      </c>
      <c r="CC66" s="211">
        <f>Nbal!AT66+Nbal!DZ66</f>
        <v>40</v>
      </c>
      <c r="CD66" s="211">
        <f>Nbal!AX66</f>
        <v>0</v>
      </c>
      <c r="CE66">
        <f>Nbal!BH66</f>
        <v>0</v>
      </c>
      <c r="CF66" s="211">
        <f>Nbal!BM66</f>
        <v>515</v>
      </c>
      <c r="CG66" s="2">
        <f>Nbal!EI66</f>
        <v>0</v>
      </c>
      <c r="CH66" s="211">
        <f>Nbal!BM66+Nbal!EI66</f>
        <v>515</v>
      </c>
      <c r="CI66" s="211">
        <f>Nbal!BW66</f>
        <v>0</v>
      </c>
      <c r="CJ66" s="211">
        <f>Nbal!BH66*Nbal!BJ66*0.01</f>
        <v>0</v>
      </c>
      <c r="CK66" s="211">
        <f>(Nbal!BM66*Nbal!BP66*0.01)</f>
        <v>378.52500000000003</v>
      </c>
      <c r="CL66" s="211">
        <f>(Nbal!EI66*Nbal!EL66*0.01)</f>
        <v>0</v>
      </c>
      <c r="CM66" s="211">
        <f>(Nbal!BM66*Nbal!BP66*0.01)+(Nbal!EI66*Nbal!EL66*0.01)</f>
        <v>378.52500000000003</v>
      </c>
      <c r="CN66" s="211">
        <f>Nbal!BW66*Nbal!BY66*0.01</f>
        <v>0</v>
      </c>
      <c r="CO66">
        <f>Nbal!BT66+Nbal!ER66</f>
        <v>0</v>
      </c>
      <c r="CQ66">
        <f>Nbal!BA66</f>
        <v>0</v>
      </c>
      <c r="CR66">
        <f>Nbal!EC66</f>
        <v>0</v>
      </c>
      <c r="CS66">
        <f>(CQ66+CR66)*Z66</f>
        <v>0</v>
      </c>
      <c r="CT66">
        <f>Nbal!CB66</f>
        <v>104</v>
      </c>
      <c r="CU66">
        <f>Nbal!EV66</f>
        <v>0</v>
      </c>
      <c r="CV66">
        <f>(CT66+CU66)*Z66</f>
        <v>654.16</v>
      </c>
      <c r="CW66">
        <f>Nbal!BA66+Nbal!CB66+Nbal!EC66+Nbal!EV66</f>
        <v>104</v>
      </c>
      <c r="CY66">
        <f>Nbal!BD66</f>
        <v>0</v>
      </c>
      <c r="CZ66">
        <f>Nbal!EF66</f>
        <v>0</v>
      </c>
      <c r="DA66">
        <f>(CY66+CZ66)*Z66</f>
        <v>0</v>
      </c>
      <c r="DB66">
        <f>Nbal!CE66</f>
        <v>280</v>
      </c>
      <c r="DC66">
        <f>Nbal!EY66</f>
        <v>0</v>
      </c>
      <c r="DD66">
        <f>(DB66+DC66)*Z66</f>
        <v>1761.2</v>
      </c>
      <c r="DE66">
        <f>Nbal!BD66+Nbal!CE66+Nbal!EF66+Nbal!EY66</f>
        <v>280</v>
      </c>
      <c r="DG66">
        <f>VLOOKUP($R66,Afgr,Data!$AW$3)</f>
        <v>16.3125</v>
      </c>
      <c r="DH66">
        <f>IF($AO66="FE",$AM66*$AP66*$DG66*0.01,$AM66*100*$DM66*0.01*$DG66*0.01)</f>
        <v>1537.29</v>
      </c>
      <c r="DI66">
        <f>IF(VLOOKUP(R66,Afgr,Data!$BO$3)=1,DH66,0)*Z66</f>
        <v>0</v>
      </c>
      <c r="DJ66" s="12">
        <f>(BZ66+CC66+CJ66-AE66)*VLOOKUP($R66,Afgr,Data!$AX$3)</f>
        <v>0</v>
      </c>
      <c r="DK66">
        <f>DG66+DJ66</f>
        <v>16.3125</v>
      </c>
      <c r="DL66">
        <f>IF(Nbal!CQ66&lt;&gt;"",Nbal!CQ66,DK66)</f>
        <v>16.3125</v>
      </c>
      <c r="DM66">
        <f>VLOOKUP(R66,Afgr,Data!$AT$3)</f>
        <v>0</v>
      </c>
      <c r="DN66">
        <f>IF($AO66="FE",$AM66*$AP66*$DL66*0.01,$AM66*100*$DM66*0.01*DL66*0.01)</f>
        <v>1537.29</v>
      </c>
      <c r="DO66">
        <f>IF(VLOOKUP(R66,Afgr,Data!$BO$3)=1,DN66,0)*Z66</f>
        <v>0</v>
      </c>
      <c r="DP66">
        <f>IF(ISERROR(DN66/VLOOKUP(R66,Afgr,Data!$AY$3)),0,DN66/VLOOKUP(R66,Afgr,Data!$AY$3))</f>
        <v>245.96639999999999</v>
      </c>
      <c r="DQ66">
        <f>DP66*Z66</f>
        <v>1547.1286559999999</v>
      </c>
      <c r="DS66">
        <f>IF($AO66="FE",$AM66*$AP66*VLOOKUP($R66,Afgr,Data!$BC$3)*0.001,$AM66*100*$DM66*0.01*VLOOKUP($R66,Afgr,Data!$BC$3)*0.001)</f>
        <v>34.8688</v>
      </c>
      <c r="DT66">
        <f>DS66*Z66</f>
        <v>219.32475199999999</v>
      </c>
      <c r="DV66">
        <f>IF($AO66="FE",$AM66*$AP66*VLOOKUP($R66,Afgr,Data!$BF$3)*0.001,$AM66*100*$DM66*0.01*VLOOKUP($R66,Afgr,Data!$BF$3)*0.001)</f>
        <v>273.29599999999999</v>
      </c>
      <c r="DW66">
        <f>DV66*Z66</f>
        <v>1719.0318399999999</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418.52500000000003</v>
      </c>
      <c r="EZ66">
        <f>IF(VLOOKUP($R66,Afgr,Data!$DS$3)=5,($AM66*0.02742-$AM66*0.0001*$EY66+$AM66*0.0000001111*$EY66*$EY66),0)</f>
        <v>38.213778970725002</v>
      </c>
      <c r="FA66" s="2">
        <f>CB66+CL66</f>
        <v>0</v>
      </c>
      <c r="FB66">
        <f>IF(VLOOKUP($T66,Efgr,Data!$BH$53)=5,($BR66*0.02742-$BR66*0.0001*$FA66+$BR66*0.0000001111*$FA66*$FA66),0)</f>
        <v>0</v>
      </c>
      <c r="FC66" s="3">
        <f>EU66+EV66+EW66+EX66+EZ66+FB66</f>
        <v>38.213778970725002</v>
      </c>
      <c r="FD66" s="3">
        <f>FC66*Z66</f>
        <v>240.36466972586027</v>
      </c>
      <c r="FF66" s="211">
        <f>BZ66+CC66</f>
        <v>40</v>
      </c>
      <c r="FG66" s="211">
        <f>FF66*Z66</f>
        <v>251.6</v>
      </c>
      <c r="FH66" s="211">
        <f>CE66+CH66+CO66</f>
        <v>515</v>
      </c>
      <c r="FI66" s="211">
        <f>FH66*Z66</f>
        <v>3239.35</v>
      </c>
      <c r="FJ66">
        <f>VLOOKUP($R66,Afgr,Data!$DK$3)*VLOOKUP($R66,Afgr,Data!$AT$3)*0.01*VLOOKUP($R66,Afgr,Data!$AW$3)*0.01/6.25</f>
        <v>0</v>
      </c>
      <c r="FK66">
        <f>FJ66*Z66</f>
        <v>0</v>
      </c>
      <c r="FL66" s="4">
        <f>IF(R66&gt;1,Deposition,0)</f>
        <v>15</v>
      </c>
      <c r="FM66" s="4">
        <f>FL66*Z66</f>
        <v>94.35</v>
      </c>
      <c r="FN66">
        <f>FC66</f>
        <v>38.213778970725002</v>
      </c>
      <c r="FO66">
        <f>FN66*Z66</f>
        <v>240.36466972586027</v>
      </c>
      <c r="FP66" s="211">
        <f>SUM(FF66,FH66,FJ66,FL66,FN66)</f>
        <v>608.213778970725</v>
      </c>
      <c r="FQ66">
        <f>DP66+EB66+EL66</f>
        <v>245.96639999999999</v>
      </c>
      <c r="FR66" s="3">
        <f>FP66-FQ66</f>
        <v>362.24737897072498</v>
      </c>
      <c r="FS66" s="19">
        <f>FP66*Z66</f>
        <v>3825.6646697258602</v>
      </c>
      <c r="FT66" s="19">
        <f>FQ66*Z66</f>
        <v>1547.1286559999999</v>
      </c>
      <c r="FU66" s="3">
        <f>FR66*Z66</f>
        <v>2278.5360137258604</v>
      </c>
      <c r="FW66">
        <f>CW66</f>
        <v>104</v>
      </c>
      <c r="FX66">
        <f>FW66*Z66</f>
        <v>654.16</v>
      </c>
      <c r="FY66">
        <f>IX66+MB66</f>
        <v>34.8688</v>
      </c>
      <c r="FZ66">
        <f>FY66*Z66</f>
        <v>219.32475199999999</v>
      </c>
      <c r="GA66">
        <f>FW66-FY66</f>
        <v>69.131200000000007</v>
      </c>
      <c r="GB66">
        <f>GA66*Z66</f>
        <v>434.83524800000004</v>
      </c>
      <c r="GD66">
        <f>DE66</f>
        <v>280</v>
      </c>
      <c r="GE66">
        <f>GD66*Z66</f>
        <v>1761.2</v>
      </c>
      <c r="GF66">
        <f>JE66+MH66</f>
        <v>273.29599999999999</v>
      </c>
      <c r="GG66">
        <f>GF66*Z66</f>
        <v>1719.0318399999999</v>
      </c>
      <c r="GH66">
        <f>GD66-GF66</f>
        <v>6.7040000000000077</v>
      </c>
      <c r="GI66">
        <f>GH66*Z66</f>
        <v>42.16816000000005</v>
      </c>
      <c r="GK66">
        <f>AA66</f>
        <v>1</v>
      </c>
      <c r="GL66" s="211">
        <f>FF66+FH66+FN66</f>
        <v>593.213778970725</v>
      </c>
      <c r="GM66" s="211">
        <f>IF(R66=1,"",IF(GK66=1,GL66,""))</f>
        <v>593.213778970725</v>
      </c>
      <c r="GN66" s="211" t="str">
        <f>IF(R66=1,"",IF(GK66=2,GL66,""))</f>
        <v/>
      </c>
      <c r="GO66" s="211" t="str">
        <f>IF(R66=1,"",IF(GK66=3,GL66,""))</f>
        <v/>
      </c>
      <c r="GP66" s="211" t="str">
        <f>IF(R66=1,"",IF(GK66=4,GL66,""))</f>
        <v/>
      </c>
      <c r="GQ66" s="149">
        <f>IF(OR(R66=1,VLOOKUP(R66,Afgr,Data!$BV$3)=1,VLOOKUP(R66,Afgr,Data!$BW$3)=1),0,IF(GK66=1,Nniveau1,IF(GK66=2,Nniveau2,IF(GK66=3,Nniveau3,IF(GK66=4,Nniveau4,GL66)))))</f>
        <v>197.65542292344122</v>
      </c>
      <c r="GR66" s="241">
        <v>0.32550000000000001</v>
      </c>
      <c r="GS66" s="6">
        <v>0</v>
      </c>
      <c r="GT66" s="149">
        <f>CC66+CM66</f>
        <v>418.52500000000003</v>
      </c>
      <c r="GU66" s="6">
        <f>$FN66</f>
        <v>38.213778970725002</v>
      </c>
      <c r="GV66" s="241">
        <v>0.25280000000000002</v>
      </c>
      <c r="GW66">
        <f>CO66</f>
        <v>0</v>
      </c>
      <c r="GX66" s="241">
        <v>0.376</v>
      </c>
      <c r="GY66" s="149">
        <f>CD66+CN66</f>
        <v>0</v>
      </c>
      <c r="GZ66" s="241">
        <f>IF(B66&gt;3,0.3539,1.0749)</f>
        <v>0.35389999999999999</v>
      </c>
      <c r="HA66" s="11">
        <f>$FQ66</f>
        <v>245.96639999999999</v>
      </c>
      <c r="HB66" s="241">
        <v>0.19359999999999999</v>
      </c>
      <c r="HC66" s="241">
        <f>VLOOKUP($R66,Afgr,Data!$DM$3)</f>
        <v>7</v>
      </c>
      <c r="HD66" s="24">
        <f>IF($HC66&gt;1,0,(VLOOKUP($X66,Afgr,Data!$DP$3)+IF(VLOOKUP($X66,Afgr,Data!$DP$3)=0,VLOOKUP($T66,Efgr,Data!$BI$53,0))))+IF(AND($HC66=7,VLOOKUP($X66,Afgr,Data!$DQ$3)=-2),-2,0)+IF(AND($HC66=6,VLOOKUP($T66,Efgr,Data!$BI$53)=2),8,0)</f>
        <v>0</v>
      </c>
      <c r="HE66" s="6">
        <f>VLOOKUP(SUM(HC66:HD66),Nlesafgr,3)</f>
        <v>-165.7</v>
      </c>
      <c r="HF66" s="7">
        <f>VLOOKUP($O66,Afgr,Data!$DN$3)</f>
        <v>4</v>
      </c>
      <c r="HG66" s="24">
        <f>IF(HF66&gt;1,0,VLOOKUP($R66,Afgr,Data!$DO$3)+IF(VLOOKUP($R66,Afgr,Data!$DO$3)=1,0,VLOOKUP($P66,Efgr,Data!$BJ$53)))</f>
        <v>0</v>
      </c>
      <c r="HH66" s="6">
        <f>VLOOKUP(SUM(HF66:HG66),Nlesforfrugt,3)</f>
        <v>34.700000000000003</v>
      </c>
      <c r="HI66" s="241">
        <f>GR66*GQ66+GV66*(GT66+GU66)+GX66*GW66+GZ66*GY66-HB66*HA66+HE66+HH66</f>
        <v>1.1813084453794573</v>
      </c>
      <c r="HJ66" s="241">
        <f>Nlesafskaering</f>
        <v>59.6</v>
      </c>
      <c r="HK66" s="241">
        <f>Teknologi1</f>
        <v>2455</v>
      </c>
      <c r="HL66" s="6">
        <v>2001</v>
      </c>
      <c r="HM66" s="241">
        <f>Teknologi2</f>
        <v>1962.2</v>
      </c>
      <c r="HN66" s="241">
        <f>Tandel</f>
        <v>0.54659999999999997</v>
      </c>
      <c r="HO66" s="241">
        <f>IF(OR(HI66&gt;0,HI66=0),HJ66+HK66/(HL66-HM66),HJ66+HK66/(HL66-HM66)+HN66*HI66)</f>
        <v>122.87319587628873</v>
      </c>
      <c r="HP66" s="241">
        <f>IF(HI66&gt;0,HI66,0.001)</f>
        <v>1.1813084453794573</v>
      </c>
      <c r="HQ66" s="241">
        <v>1.5020000000000001E-3</v>
      </c>
      <c r="HR66" s="24">
        <f>IF(R66=1,0,VLOOKUP(PostnrNbal,AfstromData,VLOOKUP($R66,Afgr,Data!$DL$3)+IF(Jordtype1&lt;7,Jordtype1,6),FALSE)-VLOOKUP(T66,Efgr,Data!$AA$53))</f>
        <v>272.32333333333298</v>
      </c>
      <c r="HS66" s="24">
        <f>IF(Nbal!GA66&lt;&gt;"",Nbal!GA66,Regn2!HR66)</f>
        <v>272.32333333333298</v>
      </c>
      <c r="HT66" s="241">
        <v>5.5400000000000002E-4</v>
      </c>
      <c r="HU66" s="24">
        <f>IF(R66=1,0,VLOOKUP(PostnrNbal,AfstromData,VLOOKUP($O66,Afgr,Data!$DL$3)+IF(B66&lt;7,B66,6),FALSE)-VLOOKUP(P66,Efgr,Data!$AA$53))</f>
        <v>272.32333333333298</v>
      </c>
      <c r="HV66" s="24">
        <f>IF(Nbal!FU66&lt;&gt;"",Nbal!FU66,Regn2!HU66)</f>
        <v>272.32333333333298</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21.951421123613255</v>
      </c>
      <c r="ID66">
        <f>IC66*Z66</f>
        <v>138.07443886752736</v>
      </c>
      <c r="IE66">
        <f>IF(Nbal!GF66&lt;&gt;"",Nbal!GF66,RetentionNbal)</f>
        <v>65</v>
      </c>
      <c r="IF66">
        <f>IC66*(100-IE66)*0.01</f>
        <v>7.6829973932646398</v>
      </c>
      <c r="IG66">
        <f>IF66*Z66</f>
        <v>48.326053603634584</v>
      </c>
      <c r="IH66" s="2">
        <f>HS66*10000</f>
        <v>2723233.3333333298</v>
      </c>
      <c r="II66" s="2">
        <f>IH66*Z66</f>
        <v>17129137.666666646</v>
      </c>
      <c r="IJ66">
        <f>IF(ISERROR(IC66*1000*1000/IH66),0,IC66*1000*1000/IH66)</f>
        <v>8.0607933425755967</v>
      </c>
      <c r="IL66">
        <f>AT66+AX66+BK66+BU66</f>
        <v>9120</v>
      </c>
      <c r="IO66">
        <f>VLOOKUP(R66,Afgr,Data!$AP$3)*UdsaedJust</f>
        <v>420</v>
      </c>
      <c r="IP66" s="3">
        <f>IF(Nbal!GN66&lt;&gt;"",Nbal!GN66,IO66)</f>
        <v>420</v>
      </c>
      <c r="IQ66" s="3">
        <f>IP66*Z66</f>
        <v>2641.8</v>
      </c>
      <c r="IS66" s="3">
        <f>IF(HdgVaerdiNbal=1,(BZ66+CA66)*Npris,(BZ66+CA66+CJ66+CK66)*Npris)</f>
        <v>338</v>
      </c>
      <c r="IT66" s="3">
        <f>IS66*Z66</f>
        <v>2126.02</v>
      </c>
      <c r="IV66">
        <f>VLOOKUP($R66,Afgr,Data!$BA$3)</f>
        <v>0</v>
      </c>
      <c r="IW66">
        <f>VLOOKUP($R66,Afgr,Data!$BB$3)</f>
        <v>0</v>
      </c>
      <c r="IX66">
        <f>$DS66+$EE66</f>
        <v>34.8688</v>
      </c>
      <c r="IY66">
        <f>CT66</f>
        <v>104</v>
      </c>
      <c r="IZ66">
        <f>CQ66</f>
        <v>0</v>
      </c>
      <c r="JA66" s="3">
        <f>IF(HdgVaerdiNbal=1,(IZ66)*Ppris,(IY66+IZ66)*Ppris)</f>
        <v>0</v>
      </c>
      <c r="JB66" s="3">
        <f>JA66*Z66</f>
        <v>0</v>
      </c>
      <c r="JD66">
        <f>IF(AND(R66&gt;1,OR(Jordtype1=1,Jordtype1=3,Markvand1=2)),Kudvask,0)</f>
        <v>0</v>
      </c>
      <c r="JE66">
        <f>$DV66+$EH66</f>
        <v>273.29599999999999</v>
      </c>
      <c r="JF66">
        <f>DB66</f>
        <v>280</v>
      </c>
      <c r="JG66">
        <f>CY66</f>
        <v>0</v>
      </c>
      <c r="JH66" s="3">
        <f>IF(HdgVaerdiNbal=1,JG66*Kpris,(JF66+JG66)*Kpris)</f>
        <v>0</v>
      </c>
      <c r="JI66" s="3">
        <f>JH66*Z66</f>
        <v>0</v>
      </c>
      <c r="JK66">
        <f>IS66+JA66+JH66</f>
        <v>338</v>
      </c>
      <c r="JL66" s="3">
        <f>IF(Nbal!GT66&lt;&gt;"",Nbal!GT66,$JK66)</f>
        <v>338</v>
      </c>
      <c r="JM66" s="3">
        <f>JL66*Z66</f>
        <v>2126.02</v>
      </c>
      <c r="JO66">
        <f>VLOOKUP(R66,Afgr,Data!$AQ$3)*PlantevJust</f>
        <v>0</v>
      </c>
      <c r="JP66" s="3">
        <f>IF(Nbal!GZ66&lt;&gt;"",Nbal!GZ66,JO66)</f>
        <v>0</v>
      </c>
      <c r="JQ66" s="3">
        <f>JP66*Z66</f>
        <v>0</v>
      </c>
      <c r="JS66">
        <f>VLOOKUP(R66,Afgr,Data!$AR$3)+AM66*VLOOKUP(R66,Afgr,Data!$BH$3)</f>
        <v>395.2</v>
      </c>
      <c r="JT66" s="3">
        <f>IF(Nbal!HF66&lt;&gt;"",Nbal!HF66,JS66)</f>
        <v>395.2</v>
      </c>
      <c r="JU66">
        <f>JT66*Z66</f>
        <v>2485.808</v>
      </c>
      <c r="JW66">
        <f>IP66+JL66+JP66+JT66</f>
        <v>1153.2</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125</v>
      </c>
      <c r="KH66">
        <f>IF(VLOOKUP(R66,Afgr,Data!$CE$3)&gt;0,Data!$K$264*K66,0)</f>
        <v>0</v>
      </c>
      <c r="KI66">
        <f>IF(VLOOKUP(R66,Afgr,Data!$CF$3)&gt;0,Data!$K$265*K66,0)</f>
        <v>0</v>
      </c>
      <c r="KJ66">
        <f>IF(VLOOKUP(R66,Afgr,Data!$CV$3)&gt;0,Data!$K$266,0)</f>
        <v>0</v>
      </c>
      <c r="KK66">
        <f>IF(VLOOKUP(R66,Afgr,Data!$CG$3)&gt;0,Data!$K$267*K66,0)</f>
        <v>0</v>
      </c>
      <c r="KL66">
        <f>(KE66+KF66+KG66+KH66+KI66+KJ66+KK66)*MaskJust</f>
        <v>125</v>
      </c>
      <c r="KM66" s="3">
        <f>IF(Nbal!HR66&lt;&gt;"",Nbal!HR66,KL66)</f>
        <v>125</v>
      </c>
      <c r="KN66" s="3">
        <f>KM66*Z66</f>
        <v>786.25</v>
      </c>
      <c r="KP66">
        <f>IF(VLOOKUP(R66,Afgr,Data!$CJ$3)&gt;0,VLOOKUP(R66,Afgr,Data!$CJ$3)*Data!$K$268*K66,0)*MaskJust</f>
        <v>420</v>
      </c>
      <c r="KQ66" s="3">
        <f>IF(Nbal!HX66&lt;&gt;"",Nbal!HX66,KP66)</f>
        <v>420</v>
      </c>
      <c r="KR66" s="3">
        <f>KQ66*Z66</f>
        <v>2641.8</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1521</v>
      </c>
      <c r="LE66">
        <f>IF(VLOOKUP($R66,Afgr,Data!$CK$3)&gt;0,IF(AND($S66=2,$BA66&gt;0),Data!$K$271,0),0)</f>
        <v>0</v>
      </c>
      <c r="LF66">
        <f>IF(VLOOKUP($R66,Afgr,Data!$CK$3)&gt;0,(AM66/VLOOKUP($R66,Afgr,Data!$CK$3))*VLOOKUP($R66,Afgr,Data!$CO$3)*VLOOKUP($R66,Afgr,Data!$CN$3),0)</f>
        <v>2185</v>
      </c>
      <c r="LG66">
        <f>(LD66+LE66+LF66)*MaskJust</f>
        <v>3706</v>
      </c>
      <c r="LH66" s="3">
        <f>IF(Nbal!IV66&lt;&gt;"",Nbal!IV66,LG66)</f>
        <v>3706</v>
      </c>
      <c r="LI66" s="3">
        <f>LH66*Z66</f>
        <v>23310.74</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9120</v>
      </c>
      <c r="OE66">
        <f>JW66+MZ66</f>
        <v>1153.2</v>
      </c>
      <c r="OF66">
        <f>OD66-OE66</f>
        <v>7966.8</v>
      </c>
      <c r="OG66">
        <f>OF66*Z66</f>
        <v>50111.171999999999</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1</v>
      </c>
      <c r="PR66">
        <f>IF(PQ66&gt;0,Z66,0)</f>
        <v>6.29</v>
      </c>
      <c r="PT66">
        <f>VLOOKUP($O66,Afgr,Data!$BT$3)</f>
        <v>1</v>
      </c>
      <c r="PU66" s="3">
        <f>PT66*Z66</f>
        <v>6.29</v>
      </c>
      <c r="PV66">
        <f>VLOOKUP($R66,Afgr,Data!$BT$3)</f>
        <v>1</v>
      </c>
      <c r="PW66" s="3">
        <f>PV66*Z66</f>
        <v>6.29</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7600</v>
      </c>
      <c r="QK66">
        <f>QJ66*Z66</f>
        <v>47804</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1.6</v>
      </c>
      <c r="RJ66">
        <f>((CJ66+CK66+CL66+Regn2!CO66*0.7)-(RR66+RT66))*VLOOKUP(B66,Jordtype,Data!$AE$112+DenitNr-1)</f>
        <v>47.09031250000001</v>
      </c>
      <c r="RK66">
        <f>0*VLOOKUP(B66,Jordtype,Data!$AE$112+DenitNr-1)</f>
        <v>0</v>
      </c>
      <c r="RL66">
        <f>Regn2!FD66*VLOOKUP(B66,Jordtype,Data!$AH$112+DenitNr-1)</f>
        <v>33.050142087305787</v>
      </c>
      <c r="RM66" s="3">
        <f>RH66+RI66+RJ66+RK66+RL66</f>
        <v>88.990454587305805</v>
      </c>
      <c r="RO66">
        <v>2</v>
      </c>
      <c r="RP66">
        <f>(FF66)*RO66*0.01</f>
        <v>0.8</v>
      </c>
      <c r="RQ66">
        <v>7</v>
      </c>
      <c r="RR66">
        <f>CE66*RQ66*0.01</f>
        <v>0</v>
      </c>
      <c r="RS66">
        <v>7</v>
      </c>
      <c r="RT66">
        <f>(Regn2!CF66+Regn2!CG66)*RS66*0.01</f>
        <v>36.050000000000004</v>
      </c>
      <c r="RW66">
        <f>VLOOKUP(R66,Afgr,Data!$EE$3)</f>
        <v>0</v>
      </c>
      <c r="RX66" s="3">
        <f>RP66+RR66+RT66+RV66+RW66</f>
        <v>36.85</v>
      </c>
    </row>
    <row r="68" spans="1:492" x14ac:dyDescent="0.25">
      <c r="A68" s="214" t="str">
        <f>Nbal!B68</f>
        <v>47-1</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40</v>
      </c>
      <c r="P68">
        <v>5</v>
      </c>
      <c r="Q68" t="b">
        <v>0</v>
      </c>
      <c r="R68">
        <v>40</v>
      </c>
      <c r="S68">
        <v>1</v>
      </c>
      <c r="T68">
        <v>2</v>
      </c>
      <c r="U68">
        <v>2</v>
      </c>
      <c r="V68">
        <v>1</v>
      </c>
      <c r="X68">
        <v>40</v>
      </c>
      <c r="Z68">
        <f>Nbal!AG68</f>
        <v>5.76</v>
      </c>
      <c r="AA68">
        <v>1</v>
      </c>
      <c r="AB68">
        <f>VLOOKUP($R68,Afgr,G68)</f>
        <v>110</v>
      </c>
      <c r="AC68">
        <f>VLOOKUP($O68,Afgr,Data!$AI$3)*VLOOKUP(R68,Afgr,Data!$AJ$3)</f>
        <v>0</v>
      </c>
      <c r="AD68">
        <f>IF($Q68,0,VLOOKUP($P68,Efgr,(Data!$W$53+$V$6-1)))</f>
        <v>17</v>
      </c>
      <c r="AE68">
        <f>AB68-AC68-AD68</f>
        <v>93</v>
      </c>
      <c r="AF68">
        <f>AE68*Z68</f>
        <v>535.67999999999995</v>
      </c>
      <c r="AH68">
        <f>VLOOKUP(R68,Afgr,D68)</f>
        <v>56</v>
      </c>
      <c r="AI68">
        <f>VLOOKUP(O68,Afgr,Data!$AL$3)*VLOOKUP(R68,Afgr,E68)</f>
        <v>0</v>
      </c>
      <c r="AJ68">
        <f>VLOOKUP(P68,Efgr,(Data!$Y$53+I68))</f>
        <v>0</v>
      </c>
      <c r="AK68">
        <f>AH68+AI68+AJ68</f>
        <v>56</v>
      </c>
      <c r="AL68">
        <f>AH68+AI68+AJ68</f>
        <v>56</v>
      </c>
      <c r="AM68" s="3">
        <f>IF(Nbal!CK68&lt;&gt;"",Nbal!CK68,AL68)</f>
        <v>56</v>
      </c>
      <c r="AN68">
        <f>AM68*Z68</f>
        <v>322.56</v>
      </c>
      <c r="AO68" t="str">
        <f>VLOOKUP(R68,Afgr,3)</f>
        <v>hkg</v>
      </c>
      <c r="AP68">
        <f>IF(AO68="FE",VLOOKUP($R68,Afgr,Data!$AV$3),0)</f>
        <v>0</v>
      </c>
      <c r="AR68">
        <f>VLOOKUP(R68,Afgr,4)</f>
        <v>145</v>
      </c>
      <c r="AS68" s="3">
        <f>IF(Nbal!CW68&lt;&gt;"",Nbal!CW68,AR68)</f>
        <v>145</v>
      </c>
      <c r="AT68" s="3">
        <f>AM68*AS68</f>
        <v>8120</v>
      </c>
      <c r="AU68" s="3">
        <f>AN68*AS68</f>
        <v>46771.199999999997</v>
      </c>
      <c r="AW68">
        <f>VLOOKUP(R68,Afgr,Data!$AN$3)</f>
        <v>0</v>
      </c>
      <c r="AX68" s="3">
        <f>IF(Nbal!DC68&lt;&gt;"",Nbal!DC68,AW68)</f>
        <v>0</v>
      </c>
      <c r="AY68" s="3">
        <f>AX68*Z68</f>
        <v>0</v>
      </c>
      <c r="BA68">
        <f>VLOOKUP(R68,Afgr,H68)</f>
        <v>3000</v>
      </c>
      <c r="BB68">
        <f>IF(ISERROR(BA68*AM68/AK68),0,(BA68*AM68/AK68))</f>
        <v>3000</v>
      </c>
      <c r="BC68" s="3">
        <f>IF(Nbal!DI68&lt;&gt;"",Nbal!DI68,BB68)</f>
        <v>3000</v>
      </c>
      <c r="BD68">
        <f>BC68*Z68</f>
        <v>17280</v>
      </c>
      <c r="BG68">
        <f>IF($S68=1,BC68,0)</f>
        <v>3000</v>
      </c>
      <c r="BH68">
        <f>IF($S68=1,BD68,0)</f>
        <v>17280</v>
      </c>
      <c r="BI68">
        <f>VLOOKUP(R68,Afgr,Data!$AM$3)</f>
        <v>0.5</v>
      </c>
      <c r="BJ68">
        <f>IF(Nbal!DR68&lt;&gt;"",Nbal!DR68,BI68)</f>
        <v>0.5</v>
      </c>
      <c r="BK68">
        <f>BG68*BJ68</f>
        <v>1500</v>
      </c>
      <c r="BL68">
        <f>BH68*BJ68</f>
        <v>8640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27</v>
      </c>
      <c r="CB68" s="2">
        <f>Nbal!DZ68</f>
        <v>0</v>
      </c>
      <c r="CC68" s="211">
        <f>Nbal!AT68+Nbal!DZ68</f>
        <v>27</v>
      </c>
      <c r="CD68" s="211">
        <f>Nbal!AX68</f>
        <v>0</v>
      </c>
      <c r="CE68">
        <f>Nbal!BH68</f>
        <v>0</v>
      </c>
      <c r="CF68" s="211">
        <f>Nbal!BM68</f>
        <v>87</v>
      </c>
      <c r="CG68" s="2">
        <f>Nbal!EI68</f>
        <v>0</v>
      </c>
      <c r="CH68" s="211">
        <f>Nbal!BM68+Nbal!EI68</f>
        <v>87</v>
      </c>
      <c r="CI68" s="211">
        <f>Nbal!BW68</f>
        <v>0</v>
      </c>
      <c r="CJ68" s="211">
        <f>Nbal!BH68*Nbal!BJ68*0.01</f>
        <v>0</v>
      </c>
      <c r="CK68" s="211">
        <f>(Nbal!BM68*Nbal!BP68*0.01)</f>
        <v>63.945</v>
      </c>
      <c r="CL68" s="211">
        <f>(Nbal!EI68*Nbal!EL68*0.01)</f>
        <v>0</v>
      </c>
      <c r="CM68" s="211">
        <f>(Nbal!BM68*Nbal!BP68*0.01)+(Nbal!EI68*Nbal!EL68*0.01)</f>
        <v>63.945</v>
      </c>
      <c r="CN68" s="211">
        <f>Nbal!BW68*Nbal!BY68*0.01</f>
        <v>0</v>
      </c>
      <c r="CO68">
        <f>Nbal!BT68+Nbal!ER68</f>
        <v>0</v>
      </c>
      <c r="CQ68">
        <f>Nbal!BA68</f>
        <v>0</v>
      </c>
      <c r="CR68">
        <f>Nbal!EC68</f>
        <v>0</v>
      </c>
      <c r="CS68">
        <f>(CQ68+CR68)*Z68</f>
        <v>0</v>
      </c>
      <c r="CT68">
        <f>Nbal!CB68</f>
        <v>17</v>
      </c>
      <c r="CU68">
        <f>Nbal!EV68</f>
        <v>0</v>
      </c>
      <c r="CV68">
        <f>(CT68+CU68)*Z68</f>
        <v>97.92</v>
      </c>
      <c r="CW68">
        <f>Nbal!BA68+Nbal!CB68+Nbal!EC68+Nbal!EV68</f>
        <v>17</v>
      </c>
      <c r="CY68">
        <f>Nbal!BD68</f>
        <v>0</v>
      </c>
      <c r="CZ68">
        <f>Nbal!EF68</f>
        <v>0</v>
      </c>
      <c r="DA68">
        <f>(CY68+CZ68)*Z68</f>
        <v>0</v>
      </c>
      <c r="DB68">
        <f>Nbal!CE68</f>
        <v>47</v>
      </c>
      <c r="DC68">
        <f>Nbal!EY68</f>
        <v>0</v>
      </c>
      <c r="DD68">
        <f>(DB68+DC68)*Z68</f>
        <v>270.71999999999997</v>
      </c>
      <c r="DE68">
        <f>Nbal!BD68+Nbal!CE68+Nbal!EF68+Nbal!EY68</f>
        <v>47</v>
      </c>
      <c r="DG68">
        <f>VLOOKUP($R68,Afgr,Data!$AW$3)</f>
        <v>11.1875</v>
      </c>
      <c r="DH68">
        <f>IF($AO68="FE",$AM68*$AP68*$DG68*0.01,$AM68*100*$DM68*0.01*$DG68*0.01)</f>
        <v>532.52499999999998</v>
      </c>
      <c r="DI68">
        <f>IF(VLOOKUP(R68,Afgr,Data!$BO$3)=1,DH68,0)*Z68</f>
        <v>3067.3439999999996</v>
      </c>
      <c r="DJ68" s="12">
        <f>(BZ68+CC68+CJ68-AE68)*VLOOKUP($R68,Afgr,Data!$AX$3)</f>
        <v>-1.32</v>
      </c>
      <c r="DK68">
        <f>DG68+DJ68</f>
        <v>9.8674999999999997</v>
      </c>
      <c r="DL68">
        <f>IF(Nbal!CQ68&lt;&gt;"",Nbal!CQ68,DK68)</f>
        <v>9.8674999999999997</v>
      </c>
      <c r="DM68">
        <f>VLOOKUP(R68,Afgr,Data!$AT$3)</f>
        <v>85</v>
      </c>
      <c r="DN68">
        <f>IF($AO68="FE",$AM68*$AP68*$DL68*0.01,$AM68*100*$DM68*0.01*DL68*0.01)</f>
        <v>469.69299999999998</v>
      </c>
      <c r="DO68">
        <f>IF(VLOOKUP(R68,Afgr,Data!$BO$3)=1,DN68,0)*Z68</f>
        <v>2705.4316799999997</v>
      </c>
      <c r="DP68">
        <f>IF(ISERROR(DN68/VLOOKUP(R68,Afgr,Data!$AY$3)),0,DN68/VLOOKUP(R68,Afgr,Data!$AY$3))</f>
        <v>75.150880000000001</v>
      </c>
      <c r="DQ68">
        <f>DP68*Z68</f>
        <v>432.86906879999998</v>
      </c>
      <c r="DS68">
        <f>IF($AO68="FE",$AM68*$AP68*VLOOKUP($R68,Afgr,Data!$BC$3)*0.001,$AM68*100*$DM68*0.01*VLOOKUP($R68,Afgr,Data!$BC$3)*0.001)</f>
        <v>18.088000000000001</v>
      </c>
      <c r="DT68">
        <f>DS68*Z68</f>
        <v>104.18688</v>
      </c>
      <c r="DV68">
        <f>IF($AO68="FE",$AM68*$AP68*VLOOKUP($R68,Afgr,Data!$BF$3)*0.001,$AM68*100*$DM68*0.01*VLOOKUP($R68,Afgr,Data!$BF$3)*0.001)</f>
        <v>22.372</v>
      </c>
      <c r="DW68">
        <f>DV68*Z68</f>
        <v>128.86272</v>
      </c>
      <c r="DY68">
        <f>IF(ISERROR(VLOOKUP(R68,Afgr,Data!$AZ$3)*DL68/DG68),0,VLOOKUP(R68,Afgr,Data!$AZ$3)*DL68/DG68)</f>
        <v>3.52804469273743</v>
      </c>
      <c r="DZ68">
        <f>VLOOKUP(R68,Afgr,Data!$AU$3)</f>
        <v>85</v>
      </c>
      <c r="EA68">
        <f>IF($S68=1,$BC68*$DZ68*0.01*DY68*0.01,0)</f>
        <v>89.965139664804468</v>
      </c>
      <c r="EB68">
        <f>EA68/6.25</f>
        <v>14.394422346368716</v>
      </c>
      <c r="EC68">
        <f>EB68*Z68</f>
        <v>82.911872715083803</v>
      </c>
      <c r="EE68">
        <f>IF($S68=1,$BC68*$DZ68*0.01*VLOOKUP($R68,Afgr,Data!$BD$3)*0.001,0)</f>
        <v>2.2949999999999999</v>
      </c>
      <c r="EF68">
        <f>EE68*Z68</f>
        <v>13.219199999999999</v>
      </c>
      <c r="EH68">
        <f>IF($S68=1,$BC68*$DZ68*0.01*VLOOKUP($R68,Afgr,Data!$BG$3)*0.001,0)</f>
        <v>30.6</v>
      </c>
      <c r="EI68">
        <f>EH68*Z68</f>
        <v>176.256</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90.944999999999993</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27</v>
      </c>
      <c r="FG68" s="211">
        <f>FF68*Z68</f>
        <v>155.51999999999998</v>
      </c>
      <c r="FH68" s="211">
        <f>CE68+CH68+CO68</f>
        <v>87</v>
      </c>
      <c r="FI68" s="211">
        <f>FH68*Z68</f>
        <v>501.12</v>
      </c>
      <c r="FJ68">
        <f>VLOOKUP($R68,Afgr,Data!$DK$3)*VLOOKUP($R68,Afgr,Data!$AT$3)*0.01*VLOOKUP($R68,Afgr,Data!$AW$3)*0.01/6.25</f>
        <v>2.4344000000000001</v>
      </c>
      <c r="FK68">
        <f>FJ68*Z68</f>
        <v>14.022144000000001</v>
      </c>
      <c r="FL68" s="4">
        <f>IF(R68&gt;1,Deposition,0)</f>
        <v>15</v>
      </c>
      <c r="FM68" s="4">
        <f>FL68*Z68</f>
        <v>86.399999999999991</v>
      </c>
      <c r="FN68">
        <f>FC68</f>
        <v>0</v>
      </c>
      <c r="FO68">
        <f>FN68*Z68</f>
        <v>0</v>
      </c>
      <c r="FP68" s="211">
        <f>SUM(FF68,FH68,FJ68,FL68,FN68)</f>
        <v>131.43439999999998</v>
      </c>
      <c r="FQ68">
        <f>DP68+EB68+EL68</f>
        <v>89.545302346368715</v>
      </c>
      <c r="FR68" s="3">
        <f>FP68-FQ68</f>
        <v>41.889097653631268</v>
      </c>
      <c r="FS68" s="19">
        <f>FP68*Z68</f>
        <v>757.06214399999988</v>
      </c>
      <c r="FT68" s="19">
        <f>FQ68*Z68</f>
        <v>515.78094151508378</v>
      </c>
      <c r="FU68" s="3">
        <f>FR68*Z68</f>
        <v>241.28120248491609</v>
      </c>
      <c r="FW68">
        <f>CW68</f>
        <v>17</v>
      </c>
      <c r="FX68">
        <f>FW68*Z68</f>
        <v>97.92</v>
      </c>
      <c r="FY68">
        <f>IX68+MB68</f>
        <v>20.383000000000003</v>
      </c>
      <c r="FZ68">
        <f>FY68*Z68</f>
        <v>117.40608000000002</v>
      </c>
      <c r="GA68">
        <f>FW68-FY68</f>
        <v>-3.3830000000000027</v>
      </c>
      <c r="GB68">
        <f>GA68*Z68</f>
        <v>-19.486080000000015</v>
      </c>
      <c r="GD68">
        <f>DE68</f>
        <v>47</v>
      </c>
      <c r="GE68">
        <f>GD68*Z68</f>
        <v>270.71999999999997</v>
      </c>
      <c r="GF68">
        <f>JE68+MH68</f>
        <v>52.972000000000001</v>
      </c>
      <c r="GG68">
        <f>GF68*Z68</f>
        <v>305.11872</v>
      </c>
      <c r="GH68">
        <f>GD68-GF68</f>
        <v>-5.9720000000000013</v>
      </c>
      <c r="GI68">
        <f>GH68*Z68</f>
        <v>-34.398720000000004</v>
      </c>
      <c r="GK68">
        <f>AA68</f>
        <v>1</v>
      </c>
      <c r="GL68" s="211">
        <f>FF68+FH68+FN68</f>
        <v>114</v>
      </c>
      <c r="GM68" s="211">
        <f>IF(R68=1,"",IF(GK68=1,GL68,""))</f>
        <v>114</v>
      </c>
      <c r="GN68" s="211" t="str">
        <f>IF(R68=1,"",IF(GK68=2,GL68,""))</f>
        <v/>
      </c>
      <c r="GO68" s="211" t="str">
        <f>IF(R68=1,"",IF(GK68=3,GL68,""))</f>
        <v/>
      </c>
      <c r="GP68" s="211" t="str">
        <f>IF(R68=1,"",IF(GK68=4,GL68,""))</f>
        <v/>
      </c>
      <c r="GQ68" s="149">
        <f>IF(OR(R68=1,VLOOKUP(R68,Afgr,Data!$BV$3)=1,VLOOKUP(R68,Afgr,Data!$BW$3)=1),0,IF(GK68=1,Nniveau1,IF(GK68=2,Nniveau2,IF(GK68=3,Nniveau3,IF(GK68=4,Nniveau4,GL68)))))</f>
        <v>197.65542292344122</v>
      </c>
      <c r="GR68" s="241">
        <v>0.32550000000000001</v>
      </c>
      <c r="GS68" s="6">
        <v>0</v>
      </c>
      <c r="GT68" s="149">
        <f>CC68+CM68</f>
        <v>90.944999999999993</v>
      </c>
      <c r="GU68" s="6">
        <f>$FN68</f>
        <v>0</v>
      </c>
      <c r="GV68" s="241">
        <v>0.25280000000000002</v>
      </c>
      <c r="GW68">
        <f>CO68</f>
        <v>0</v>
      </c>
      <c r="GX68" s="241">
        <v>0.376</v>
      </c>
      <c r="GY68" s="149">
        <f>CD68+CN68</f>
        <v>0</v>
      </c>
      <c r="GZ68" s="241">
        <f>IF(B68&gt;3,0.3539,1.0749)</f>
        <v>0.35389999999999999</v>
      </c>
      <c r="HA68" s="11">
        <f>$FQ68</f>
        <v>89.545302346368715</v>
      </c>
      <c r="HB68" s="241">
        <v>0.19359999999999999</v>
      </c>
      <c r="HC68" s="241">
        <f>VLOOKUP($R68,Afgr,Data!$DM$3)</f>
        <v>1</v>
      </c>
      <c r="HD68" s="24">
        <f>IF($HC68&gt;1,0,(VLOOKUP($X68,Afgr,Data!$DP$3)+IF(VLOOKUP($X68,Afgr,Data!$DP$3)=0,VLOOKUP($T68,Efgr,Data!$BI$53,0))))+IF(AND($HC68=7,VLOOKUP($X68,Afgr,Data!$DQ$3)=-2),-2,0)+IF(AND($HC68=6,VLOOKUP($T68,Efgr,Data!$BI$53)=2),8,0)</f>
        <v>2</v>
      </c>
      <c r="HE68" s="6">
        <f>VLOOKUP(SUM(HC68:HD68),Nlesafgr,3)</f>
        <v>-98.6</v>
      </c>
      <c r="HF68" s="7">
        <f>VLOOKUP($O68,Afgr,Data!$DN$3)</f>
        <v>1</v>
      </c>
      <c r="HG68" s="24">
        <f>IF(HF68&gt;1,0,VLOOKUP($R68,Afgr,Data!$DO$3)+IF(VLOOKUP($R68,Afgr,Data!$DO$3)=1,0,VLOOKUP($P68,Efgr,Data!$BJ$53)))</f>
        <v>1</v>
      </c>
      <c r="HH68" s="6">
        <f>VLOOKUP(SUM(HF68:HG68),Nlesforfrugt,3)</f>
        <v>14.2</v>
      </c>
      <c r="HI68" s="241">
        <f>GR68*GQ68+GV68*(GT68+GU68)+GX68*GW68+GZ68*GY68-HB68*HA68+HE68+HH68</f>
        <v>-14.408234372676876</v>
      </c>
      <c r="HJ68" s="241">
        <f>Nlesafskaering</f>
        <v>59.6</v>
      </c>
      <c r="HK68" s="241">
        <f>Teknologi1</f>
        <v>2455</v>
      </c>
      <c r="HL68" s="6">
        <v>2001</v>
      </c>
      <c r="HM68" s="241">
        <f>Teknologi2</f>
        <v>1962.2</v>
      </c>
      <c r="HN68" s="241">
        <f>Tandel</f>
        <v>0.54659999999999997</v>
      </c>
      <c r="HO68" s="241">
        <f>IF(OR(HI68&gt;0,HI68=0),HJ68+HK68/(HL68-HM68),HJ68+HK68/(HL68-HM68)+HN68*HI68)</f>
        <v>114.99765496818355</v>
      </c>
      <c r="HP68" s="241">
        <f>IF(HI68&gt;0,HI68,0.001)</f>
        <v>1E-3</v>
      </c>
      <c r="HQ68" s="241">
        <v>1.5020000000000001E-3</v>
      </c>
      <c r="HR68" s="24">
        <f>IF(R68=1,0,VLOOKUP(PostnrNbal,AfstromData,VLOOKUP($R68,Afgr,Data!$DL$3)+IF(Jordtype1&lt;7,Jordtype1,6),FALSE)-VLOOKUP(T68,Efgr,Data!$AA$53))</f>
        <v>284.76666666666603</v>
      </c>
      <c r="HS68" s="24">
        <f>IF(Nbal!GA68&lt;&gt;"",Nbal!GA68,Regn2!HR68)</f>
        <v>284.76666666666603</v>
      </c>
      <c r="HT68" s="241">
        <v>5.5400000000000002E-4</v>
      </c>
      <c r="HU68" s="24">
        <f>IF(R68=1,0,VLOOKUP(PostnrNbal,AfstromData,VLOOKUP($O68,Afgr,Data!$DL$3)+IF(B68&lt;7,B68,6),FALSE)-VLOOKUP(P68,Efgr,Data!$AA$53))</f>
        <v>284.76666666666603</v>
      </c>
      <c r="HV68" s="24">
        <f>IF(Nbal!FU68&lt;&gt;"",Nbal!FU68,Regn2!HU68)</f>
        <v>284.76666666666603</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20.942767723685982</v>
      </c>
      <c r="ID68">
        <f>IC68*Z68</f>
        <v>120.63034208843125</v>
      </c>
      <c r="IE68">
        <f>IF(Nbal!GF68&lt;&gt;"",Nbal!GF68,RetentionNbal)</f>
        <v>65</v>
      </c>
      <c r="IF68">
        <f>IC68*(100-IE68)*0.01</f>
        <v>7.3299687032900946</v>
      </c>
      <c r="IG68">
        <f>IF68*Z68</f>
        <v>42.220619730950943</v>
      </c>
      <c r="IH68" s="2">
        <f>HS68*10000</f>
        <v>2847666.6666666605</v>
      </c>
      <c r="II68" s="2">
        <f>IH68*Z68</f>
        <v>16402559.999999963</v>
      </c>
      <c r="IJ68">
        <f>IF(ISERROR(IC68*1000*1000/IH68),0,IC68*1000*1000/IH68)</f>
        <v>7.3543606661662286</v>
      </c>
      <c r="IL68">
        <f>AT68+AX68+BK68+BU68</f>
        <v>9620</v>
      </c>
      <c r="IO68">
        <f>VLOOKUP(R68,Afgr,Data!$AP$3)*UdsaedJust</f>
        <v>488</v>
      </c>
      <c r="IP68" s="3">
        <f>IF(Nbal!GN68&lt;&gt;"",Nbal!GN68,IO68)</f>
        <v>488</v>
      </c>
      <c r="IQ68" s="3">
        <f>IP68*Z68</f>
        <v>2810.88</v>
      </c>
      <c r="IS68" s="3">
        <f>IF(HdgVaerdiNbal=1,(BZ68+CA68)*Npris,(BZ68+CA68+CJ68+CK68)*Npris)</f>
        <v>228.14999999999998</v>
      </c>
      <c r="IT68" s="3">
        <f>IS68*Z68</f>
        <v>1314.1439999999998</v>
      </c>
      <c r="IV68">
        <f>VLOOKUP($R68,Afgr,Data!$BA$3)</f>
        <v>0</v>
      </c>
      <c r="IW68">
        <f>VLOOKUP($R68,Afgr,Data!$BB$3)</f>
        <v>2.5</v>
      </c>
      <c r="IX68">
        <f>$DS68+$EE68</f>
        <v>20.383000000000003</v>
      </c>
      <c r="IY68">
        <f>CT68</f>
        <v>17</v>
      </c>
      <c r="IZ68">
        <f>CQ68</f>
        <v>0</v>
      </c>
      <c r="JA68" s="3">
        <f>IF(HdgVaerdiNbal=1,(IZ68)*Ppris,(IY68+IZ68)*Ppris)</f>
        <v>0</v>
      </c>
      <c r="JB68" s="3">
        <f>JA68*Z68</f>
        <v>0</v>
      </c>
      <c r="JD68">
        <f>IF(AND(R68&gt;1,OR(Jordtype1=1,Jordtype1=3,Markvand1=2)),Kudvask,0)</f>
        <v>0</v>
      </c>
      <c r="JE68">
        <f>$DV68+$EH68</f>
        <v>52.972000000000001</v>
      </c>
      <c r="JF68">
        <f>DB68</f>
        <v>47</v>
      </c>
      <c r="JG68">
        <f>CY68</f>
        <v>0</v>
      </c>
      <c r="JH68" s="3">
        <f>IF(HdgVaerdiNbal=1,JG68*Kpris,(JF68+JG68)*Kpris)</f>
        <v>0</v>
      </c>
      <c r="JI68" s="3">
        <f>JH68*Z68</f>
        <v>0</v>
      </c>
      <c r="JK68">
        <f>IS68+JA68+JH68</f>
        <v>228.14999999999998</v>
      </c>
      <c r="JL68" s="3">
        <f>IF(Nbal!GT68&lt;&gt;"",Nbal!GT68,$JK68)</f>
        <v>228.14999999999998</v>
      </c>
      <c r="JM68" s="3">
        <f>JL68*Z68</f>
        <v>1314.1439999999998</v>
      </c>
      <c r="JO68">
        <f>VLOOKUP(R68,Afgr,Data!$AQ$3)*PlantevJust</f>
        <v>283</v>
      </c>
      <c r="JP68" s="3">
        <f>IF(Nbal!GZ68&lt;&gt;"",Nbal!GZ68,JO68)</f>
        <v>283</v>
      </c>
      <c r="JQ68" s="3">
        <f>JP68*Z68</f>
        <v>1630.08</v>
      </c>
      <c r="JS68">
        <f>VLOOKUP(R68,Afgr,Data!$AR$3)+AM68*VLOOKUP(R68,Afgr,Data!$BH$3)</f>
        <v>0</v>
      </c>
      <c r="JT68" s="3">
        <f>IF(Nbal!HF68&lt;&gt;"",Nbal!HF68,JS68)</f>
        <v>0</v>
      </c>
      <c r="JU68">
        <f>JT68*Z68</f>
        <v>0</v>
      </c>
      <c r="JW68">
        <f>IP68+JL68+JP68+JT68</f>
        <v>999.15</v>
      </c>
      <c r="JY68">
        <f>IF(VLOOKUP(R68,Afgr,Data!$BY$3)&gt;0,Data!$K$259*J68,0)</f>
        <v>600</v>
      </c>
      <c r="JZ68">
        <f>IF(VLOOKUP(R68,Afgr,Data!$BZ$3)&gt;0,Data!$K$260*J68,0)</f>
        <v>0</v>
      </c>
      <c r="KA68">
        <f>(JY68+JZ68)*MaskJust</f>
        <v>600</v>
      </c>
      <c r="KB68" s="3">
        <f>IF(Nbal!HL68&lt;&gt;"",Nbal!HL68,KA68)</f>
        <v>600</v>
      </c>
      <c r="KC68" s="3">
        <f>KB68*Z68</f>
        <v>3456</v>
      </c>
      <c r="KE68">
        <f>IF(VLOOKUP(R68,Afgr,Data!$CA$3)&gt;0,VLOOKUP(R68,Afgr,Data!$CA$3)*Data!$K$261*K68,0)</f>
        <v>0</v>
      </c>
      <c r="KF68">
        <f>IF(VLOOKUP(R68,Afgr,Data!$CC$3)&gt;0,Data!$K$262*K68,0)</f>
        <v>350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350</v>
      </c>
      <c r="KM68" s="3">
        <f>IF(Nbal!HR68&lt;&gt;"",Nbal!HR68,KL68)</f>
        <v>350</v>
      </c>
      <c r="KN68" s="3">
        <f>KM68*Z68</f>
        <v>2016</v>
      </c>
      <c r="KP68">
        <f>IF(VLOOKUP(R68,Afgr,Data!$CJ$3)&gt;0,VLOOKUP(R68,Afgr,Data!$CJ$3)*Data!$K$268*K68,0)*MaskJust</f>
        <v>140</v>
      </c>
      <c r="KQ68" s="3">
        <f>IF(Nbal!HX68&lt;&gt;"",Nbal!HX68,KP68)</f>
        <v>140</v>
      </c>
      <c r="KR68" s="3">
        <f>KQ68*Z68</f>
        <v>806.4</v>
      </c>
      <c r="KT68">
        <f>IF(VLOOKUP(R68,Afgr,Data!$CI$3)&gt;0,VLOOKUP(R68,Afgr,Data!$CI$3)*Data!$K$269,0)*MaskJust</f>
        <v>300</v>
      </c>
      <c r="KU68" s="3">
        <f>IF(Nbal!ID68&lt;&gt;"",Nbal!ID68,KT68)</f>
        <v>300</v>
      </c>
      <c r="KV68" s="3">
        <f>KU68*Z68</f>
        <v>1728</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746.47058823529403</v>
      </c>
      <c r="LE68">
        <f>IF(VLOOKUP($R68,Afgr,Data!$CK$3)&gt;0,IF(AND($S68=2,$BA68&gt;0),Data!$K$271,0),0)</f>
        <v>0</v>
      </c>
      <c r="LF68">
        <f>IF(VLOOKUP($R68,Afgr,Data!$CK$3)&gt;0,(AM68/VLOOKUP($R68,Afgr,Data!$CK$3))*VLOOKUP($R68,Afgr,Data!$CO$3)*VLOOKUP($R68,Afgr,Data!$CN$3),0)</f>
        <v>214.11764705882354</v>
      </c>
      <c r="LG68">
        <f>(LD68+LE68+LF68)*MaskJust</f>
        <v>960.58823529411757</v>
      </c>
      <c r="LH68" s="3">
        <f>IF(Nbal!IV68&lt;&gt;"",Nbal!IV68,LG68)</f>
        <v>960.58823529411757</v>
      </c>
      <c r="LI68" s="3">
        <f>LH68*Z68</f>
        <v>5532.9882352941167</v>
      </c>
      <c r="LJ68" s="3"/>
      <c r="LK68">
        <f>IF(AND($S68=1,VLOOKUP($R68,Afgr,Data!$CP$3)&gt;0),((1+$BC68/VLOOKUP($R68,Afgr,Data!$CP$3))/2)*VLOOKUP($R68,Afgr,Data!$CQ$3),0)</f>
        <v>525</v>
      </c>
      <c r="LL68">
        <f>IF(AND($S68=1,VLOOKUP($R68,Afgr,Data!$CP$3)&gt;0),($BC68/VLOOKUP($R68,Afgr,Data!$CP$3))*VLOOKUP($R68,Afgr,Data!$CR$3),0)</f>
        <v>200</v>
      </c>
      <c r="LM68">
        <f>(LK68+LL68)*MaskJust</f>
        <v>725</v>
      </c>
      <c r="LN68" s="3">
        <f>IF(Nbal!JB68&lt;&gt;"",Nbal!JB68,LM68)</f>
        <v>725</v>
      </c>
      <c r="LO68" s="3">
        <f>LN68*Z68</f>
        <v>4176</v>
      </c>
      <c r="LQ68">
        <f>$AM68*VLOOKUP($R68,Afgr,Data!$CS$3)*IF($V68=1,VLOOKUP($R68,Afgr,Data!$CT$3),IF($V68=2,VLOOKUP($R68,Afgr,Data!$CU$3),0))</f>
        <v>517.44000000000005</v>
      </c>
      <c r="LR68" s="3">
        <f>IF(Nbal!JK68&lt;&gt;"",Nbal!JK68,LQ68)</f>
        <v>517.44000000000005</v>
      </c>
      <c r="LS68" s="3">
        <f>LR68*Z68</f>
        <v>2980.4544000000001</v>
      </c>
      <c r="LU68">
        <f>VLOOKUP($T68,Efgr,Data!$AC$53)*UdsaedJust</f>
        <v>280</v>
      </c>
      <c r="LV68" s="3">
        <f>IF(Nbal!$JS68&lt;&gt;"",Nbal!$JS68,LU68)</f>
        <v>280</v>
      </c>
      <c r="LW68" s="3">
        <f>LV68*Z68</f>
        <v>1612.8</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280</v>
      </c>
      <c r="NB68">
        <f>VLOOKUP($T68,Efgr,Data!$AU$53)*K68*MaskJust</f>
        <v>75</v>
      </c>
      <c r="NC68" s="3">
        <f>IF(Nbal!KQ68&lt;&gt;"",Nbal!KQ68,NB68)</f>
        <v>75</v>
      </c>
      <c r="ND68" s="3">
        <f>NC68*Z68</f>
        <v>432</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180</v>
      </c>
      <c r="OA68" s="3">
        <f>IF(Nbal!MA68&lt;&gt;"",Nbal!MA68,NZ68)</f>
        <v>180</v>
      </c>
      <c r="OB68" s="3">
        <f>OA68*Z68</f>
        <v>1036.8</v>
      </c>
      <c r="OD68">
        <f>IL68</f>
        <v>9620</v>
      </c>
      <c r="OE68">
        <f>JW68+MZ68</f>
        <v>1279.1500000000001</v>
      </c>
      <c r="OF68">
        <f>OD68-OE68</f>
        <v>8340.85</v>
      </c>
      <c r="OG68">
        <f>OF68*Z68</f>
        <v>48043.296000000002</v>
      </c>
      <c r="OJ68">
        <f>VLOOKUP($O68,Afgr,Data!$BP$3)+VLOOKUP($P68,Efgr,Data!$AM$53)</f>
        <v>1</v>
      </c>
      <c r="OK68" s="3">
        <f>OJ68*Z68</f>
        <v>5.76</v>
      </c>
      <c r="OL68">
        <f>VLOOKUP($R68,Afgr,Data!$BP$3)+VLOOKUP($T68,Efgr,Data!$AM$53)</f>
        <v>1</v>
      </c>
      <c r="OM68" s="3">
        <f>OL68*Z68</f>
        <v>5.76</v>
      </c>
      <c r="OO68">
        <f>VLOOKUP($P68,Efgr,Data!$AN$53)</f>
        <v>1</v>
      </c>
      <c r="OP68">
        <f>VLOOKUP($O68,Afgr,Data!$BQ$3)</f>
        <v>1</v>
      </c>
      <c r="OQ68">
        <f>VLOOKUP($R68,Afgr,Data!$BR$3)</f>
        <v>1</v>
      </c>
      <c r="OR68">
        <f>OO68*OP68*OQ68</f>
        <v>1</v>
      </c>
      <c r="OS68" s="3">
        <f>OR68*Z68</f>
        <v>5.76</v>
      </c>
      <c r="OT68" s="3">
        <f>IF(Q68,1,0)*OS68</f>
        <v>0</v>
      </c>
      <c r="OV68">
        <f>VLOOKUP($T68,Efgr,Data!$AN$53)</f>
        <v>1</v>
      </c>
      <c r="OW68">
        <f>VLOOKUP($R68,Afgr,Data!$BQ$3)</f>
        <v>1</v>
      </c>
      <c r="OX68">
        <f>VLOOKUP($X68,Afgr,Data!$BR$3)</f>
        <v>1</v>
      </c>
      <c r="OY68">
        <f>OV68*OW68*OX68</f>
        <v>1</v>
      </c>
      <c r="OZ68" s="3">
        <f>OY68*Z68</f>
        <v>5.76</v>
      </c>
      <c r="PB68">
        <f>VLOOKUP($T68,Efgr,Data!$AO$53)</f>
        <v>0</v>
      </c>
      <c r="PC68">
        <f>VLOOKUP($O68,Afgr,Data!$BQ$3)</f>
        <v>1</v>
      </c>
      <c r="PD68">
        <f>VLOOKUP($R68,Afgr,Data!$BS$3)</f>
        <v>0</v>
      </c>
      <c r="PE68" s="3">
        <f>PB68*PC68*PD68*$Z68</f>
        <v>0</v>
      </c>
      <c r="PG68">
        <f>VLOOKUP($T68,Efgr,Data!$AO$53)</f>
        <v>0</v>
      </c>
      <c r="PH68">
        <f>VLOOKUP($R68,Afgr,Data!$BQ$3)</f>
        <v>1</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1</v>
      </c>
      <c r="PU68" s="3">
        <f>PT68*Z68</f>
        <v>5.76</v>
      </c>
      <c r="PV68">
        <f>VLOOKUP($R68,Afgr,Data!$BT$3)</f>
        <v>1</v>
      </c>
      <c r="PW68" s="3">
        <f>PV68*Z68</f>
        <v>5.76</v>
      </c>
      <c r="PY68">
        <f>VLOOKUP($R68,Afgr,Data!$BV$3)</f>
        <v>0</v>
      </c>
      <c r="PZ68">
        <f>PY68*Z68</f>
        <v>0</v>
      </c>
      <c r="QB68">
        <f>VLOOKUP($R68,Afgr,Data!$BW$3)</f>
        <v>0</v>
      </c>
      <c r="QC68">
        <f>QB68*Z68</f>
        <v>0</v>
      </c>
      <c r="QE68">
        <f>AM68*IF(VLOOKUP($R68,Afgr,Data!$BJ$3)&gt;0,1,0)</f>
        <v>56</v>
      </c>
      <c r="QF68">
        <f>QE68*Z68</f>
        <v>322.56</v>
      </c>
      <c r="QH68">
        <f>AM68*VLOOKUP(R68,Afgr,Data!$BK$3)</f>
        <v>5292</v>
      </c>
      <c r="QI68">
        <f>Z68*QH68</f>
        <v>30481.919999999998</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32901.120000000003</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1</v>
      </c>
      <c r="RB68">
        <f>RA68*LW68</f>
        <v>1612.8</v>
      </c>
      <c r="RC68">
        <f>RA68*MT68</f>
        <v>0</v>
      </c>
      <c r="RD68">
        <f>ND68</f>
        <v>432</v>
      </c>
      <c r="RE68">
        <f>RA68*OB68</f>
        <v>1036.8</v>
      </c>
      <c r="RH68">
        <f>VLOOKUP(B68,Jordtype,Data!$Y$112+DenitNr-1)</f>
        <v>7.25</v>
      </c>
      <c r="RI68">
        <f>FF68*VLOOKUP(B68,Jordtype,Data!$AB$112+DenitNr-1)</f>
        <v>1.08</v>
      </c>
      <c r="RJ68">
        <f>((CJ68+CK68+CL68+Regn2!CO68*0.7)-(RR68+RT68))*VLOOKUP(B68,Jordtype,Data!$AE$112+DenitNr-1)</f>
        <v>7.9550625000000013</v>
      </c>
      <c r="RK68">
        <f>0*VLOOKUP(B68,Jordtype,Data!$AE$112+DenitNr-1)</f>
        <v>0</v>
      </c>
      <c r="RL68">
        <f>Regn2!FD68*VLOOKUP(B68,Jordtype,Data!$AH$112+DenitNr-1)</f>
        <v>0</v>
      </c>
      <c r="RM68" s="3">
        <f>RH68+RI68+RJ68+RK68+RL68</f>
        <v>16.285062500000002</v>
      </c>
      <c r="RO68">
        <v>2</v>
      </c>
      <c r="RP68">
        <f>(FF68)*RO68*0.01</f>
        <v>0.54</v>
      </c>
      <c r="RQ68">
        <v>7</v>
      </c>
      <c r="RR68">
        <f>CE68*RQ68*0.01</f>
        <v>0</v>
      </c>
      <c r="RS68">
        <v>7</v>
      </c>
      <c r="RT68">
        <f>(Regn2!CF68+Regn2!CG68)*RS68*0.01</f>
        <v>6.09</v>
      </c>
      <c r="RW68">
        <f>VLOOKUP(R68,Afgr,Data!$EE$3)</f>
        <v>5</v>
      </c>
      <c r="RX68" s="3">
        <f>RP68+RR68+RT68+RV68+RW68</f>
        <v>11.629999999999999</v>
      </c>
    </row>
    <row r="70" spans="1:492" x14ac:dyDescent="0.25">
      <c r="A70" s="214" t="str">
        <f>Nbal!B70</f>
        <v>49-0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40</v>
      </c>
      <c r="P70">
        <v>5</v>
      </c>
      <c r="Q70" t="b">
        <v>0</v>
      </c>
      <c r="R70">
        <v>40</v>
      </c>
      <c r="S70">
        <v>1</v>
      </c>
      <c r="T70">
        <v>2</v>
      </c>
      <c r="U70">
        <v>2</v>
      </c>
      <c r="V70">
        <v>1</v>
      </c>
      <c r="X70">
        <v>40</v>
      </c>
      <c r="Z70">
        <f>Nbal!AG70</f>
        <v>15.41</v>
      </c>
      <c r="AA70">
        <v>1</v>
      </c>
      <c r="AB70">
        <f>VLOOKUP($R70,Afgr,G70)</f>
        <v>110</v>
      </c>
      <c r="AC70">
        <f>VLOOKUP($O70,Afgr,Data!$AI$3)*VLOOKUP(R70,Afgr,Data!$AJ$3)</f>
        <v>0</v>
      </c>
      <c r="AD70">
        <f>IF($Q70,0,VLOOKUP($P70,Efgr,(Data!$W$53+$V$6-1)))</f>
        <v>17</v>
      </c>
      <c r="AE70">
        <f>AB70-AC70-AD70</f>
        <v>93</v>
      </c>
      <c r="AF70">
        <f>AE70*Z70</f>
        <v>1433.13</v>
      </c>
      <c r="AH70">
        <f>VLOOKUP(R70,Afgr,D70)</f>
        <v>56</v>
      </c>
      <c r="AI70">
        <f>VLOOKUP(O70,Afgr,Data!$AL$3)*VLOOKUP(R70,Afgr,E70)</f>
        <v>0</v>
      </c>
      <c r="AJ70">
        <f>VLOOKUP(P70,Efgr,(Data!$Y$53+I70))</f>
        <v>0</v>
      </c>
      <c r="AK70">
        <f>AH70+AI70+AJ70</f>
        <v>56</v>
      </c>
      <c r="AL70">
        <f>AH70+AI70+AJ70</f>
        <v>56</v>
      </c>
      <c r="AM70" s="3">
        <f>IF(Nbal!CK70&lt;&gt;"",Nbal!CK70,AL70)</f>
        <v>56</v>
      </c>
      <c r="AN70">
        <f>AM70*Z70</f>
        <v>862.96</v>
      </c>
      <c r="AO70" t="str">
        <f>VLOOKUP(R70,Afgr,3)</f>
        <v>hkg</v>
      </c>
      <c r="AP70">
        <f>IF(AO70="FE",VLOOKUP($R70,Afgr,Data!$AV$3),0)</f>
        <v>0</v>
      </c>
      <c r="AR70">
        <f>VLOOKUP(R70,Afgr,4)</f>
        <v>145</v>
      </c>
      <c r="AS70" s="3">
        <f>IF(Nbal!CW70&lt;&gt;"",Nbal!CW70,AR70)</f>
        <v>145</v>
      </c>
      <c r="AT70" s="3">
        <f>AM70*AS70</f>
        <v>8120</v>
      </c>
      <c r="AU70" s="3">
        <f>AN70*AS70</f>
        <v>125129.20000000001</v>
      </c>
      <c r="AW70">
        <f>VLOOKUP(R70,Afgr,Data!$AN$3)</f>
        <v>0</v>
      </c>
      <c r="AX70" s="3">
        <f>IF(Nbal!DC70&lt;&gt;"",Nbal!DC70,AW70)</f>
        <v>0</v>
      </c>
      <c r="AY70" s="3">
        <f>AX70*Z70</f>
        <v>0</v>
      </c>
      <c r="BA70">
        <f>VLOOKUP(R70,Afgr,H70)</f>
        <v>3000</v>
      </c>
      <c r="BB70">
        <f>IF(ISERROR(BA70*AM70/AK70),0,(BA70*AM70/AK70))</f>
        <v>3000</v>
      </c>
      <c r="BC70" s="3">
        <f>IF(Nbal!DI70&lt;&gt;"",Nbal!DI70,BB70)</f>
        <v>3000</v>
      </c>
      <c r="BD70">
        <f>BC70*Z70</f>
        <v>46230</v>
      </c>
      <c r="BG70">
        <f>IF($S70=1,BC70,0)</f>
        <v>3000</v>
      </c>
      <c r="BH70">
        <f>IF($S70=1,BD70,0)</f>
        <v>46230</v>
      </c>
      <c r="BI70">
        <f>VLOOKUP(R70,Afgr,Data!$AM$3)</f>
        <v>0.5</v>
      </c>
      <c r="BJ70">
        <f>IF(Nbal!DR70&lt;&gt;"",Nbal!DR70,BI70)</f>
        <v>0.5</v>
      </c>
      <c r="BK70">
        <f>BG70*BJ70</f>
        <v>1500</v>
      </c>
      <c r="BL70">
        <f>BH70*BJ70</f>
        <v>23115</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27</v>
      </c>
      <c r="CB70" s="2">
        <f>Nbal!DZ70</f>
        <v>0</v>
      </c>
      <c r="CC70" s="211">
        <f>Nbal!AT70+Nbal!DZ70</f>
        <v>27</v>
      </c>
      <c r="CD70" s="211">
        <f>Nbal!AX70</f>
        <v>0</v>
      </c>
      <c r="CE70">
        <f>Nbal!BH70</f>
        <v>0</v>
      </c>
      <c r="CF70" s="211">
        <f>Nbal!BM70</f>
        <v>87</v>
      </c>
      <c r="CG70" s="2">
        <f>Nbal!EI70</f>
        <v>0</v>
      </c>
      <c r="CH70" s="211">
        <f>Nbal!BM70+Nbal!EI70</f>
        <v>87</v>
      </c>
      <c r="CI70" s="211">
        <f>Nbal!BW70</f>
        <v>0</v>
      </c>
      <c r="CJ70" s="211">
        <f>Nbal!BH70*Nbal!BJ70*0.01</f>
        <v>0</v>
      </c>
      <c r="CK70" s="211">
        <f>(Nbal!BM70*Nbal!BP70*0.01)</f>
        <v>63.945</v>
      </c>
      <c r="CL70" s="211">
        <f>(Nbal!EI70*Nbal!EL70*0.01)</f>
        <v>0</v>
      </c>
      <c r="CM70" s="211">
        <f>(Nbal!BM70*Nbal!BP70*0.01)+(Nbal!EI70*Nbal!EL70*0.01)</f>
        <v>63.945</v>
      </c>
      <c r="CN70" s="211">
        <f>Nbal!BW70*Nbal!BY70*0.01</f>
        <v>0</v>
      </c>
      <c r="CO70">
        <f>Nbal!BT70+Nbal!ER70</f>
        <v>0</v>
      </c>
      <c r="CQ70">
        <f>Nbal!BA70</f>
        <v>0</v>
      </c>
      <c r="CR70">
        <f>Nbal!EC70</f>
        <v>0</v>
      </c>
      <c r="CS70">
        <f>(CQ70+CR70)*Z70</f>
        <v>0</v>
      </c>
      <c r="CT70">
        <f>Nbal!CB70</f>
        <v>17</v>
      </c>
      <c r="CU70">
        <f>Nbal!EV70</f>
        <v>0</v>
      </c>
      <c r="CV70">
        <f>(CT70+CU70)*Z70</f>
        <v>261.97000000000003</v>
      </c>
      <c r="CW70">
        <f>Nbal!BA70+Nbal!CB70+Nbal!EC70+Nbal!EV70</f>
        <v>17</v>
      </c>
      <c r="CY70">
        <f>Nbal!BD70</f>
        <v>0</v>
      </c>
      <c r="CZ70">
        <f>Nbal!EF70</f>
        <v>0</v>
      </c>
      <c r="DA70">
        <f>(CY70+CZ70)*Z70</f>
        <v>0</v>
      </c>
      <c r="DB70">
        <f>Nbal!CE70</f>
        <v>47</v>
      </c>
      <c r="DC70">
        <f>Nbal!EY70</f>
        <v>0</v>
      </c>
      <c r="DD70">
        <f>(DB70+DC70)*Z70</f>
        <v>724.27</v>
      </c>
      <c r="DE70">
        <f>Nbal!BD70+Nbal!CE70+Nbal!EF70+Nbal!EY70</f>
        <v>47</v>
      </c>
      <c r="DG70">
        <f>VLOOKUP($R70,Afgr,Data!$AW$3)</f>
        <v>11.1875</v>
      </c>
      <c r="DH70">
        <f>IF($AO70="FE",$AM70*$AP70*$DG70*0.01,$AM70*100*$DM70*0.01*$DG70*0.01)</f>
        <v>532.52499999999998</v>
      </c>
      <c r="DI70">
        <f>IF(VLOOKUP(R70,Afgr,Data!$BO$3)=1,DH70,0)*Z70</f>
        <v>8206.2102500000001</v>
      </c>
      <c r="DJ70" s="12">
        <f>(BZ70+CC70+CJ70-AE70)*VLOOKUP($R70,Afgr,Data!$AX$3)</f>
        <v>-1.32</v>
      </c>
      <c r="DK70">
        <f>DG70+DJ70</f>
        <v>9.8674999999999997</v>
      </c>
      <c r="DL70">
        <f>IF(Nbal!CQ70&lt;&gt;"",Nbal!CQ70,DK70)</f>
        <v>9.8674999999999997</v>
      </c>
      <c r="DM70">
        <f>VLOOKUP(R70,Afgr,Data!$AT$3)</f>
        <v>85</v>
      </c>
      <c r="DN70">
        <f>IF($AO70="FE",$AM70*$AP70*$DL70*0.01,$AM70*100*$DM70*0.01*DL70*0.01)</f>
        <v>469.69299999999998</v>
      </c>
      <c r="DO70">
        <f>IF(VLOOKUP(R70,Afgr,Data!$BO$3)=1,DN70,0)*Z70</f>
        <v>7237.9691299999995</v>
      </c>
      <c r="DP70">
        <f>IF(ISERROR(DN70/VLOOKUP(R70,Afgr,Data!$AY$3)),0,DN70/VLOOKUP(R70,Afgr,Data!$AY$3))</f>
        <v>75.150880000000001</v>
      </c>
      <c r="DQ70">
        <f>DP70*Z70</f>
        <v>1158.0750608000001</v>
      </c>
      <c r="DS70">
        <f>IF($AO70="FE",$AM70*$AP70*VLOOKUP($R70,Afgr,Data!$BC$3)*0.001,$AM70*100*$DM70*0.01*VLOOKUP($R70,Afgr,Data!$BC$3)*0.001)</f>
        <v>18.088000000000001</v>
      </c>
      <c r="DT70">
        <f>DS70*Z70</f>
        <v>278.73608000000002</v>
      </c>
      <c r="DV70">
        <f>IF($AO70="FE",$AM70*$AP70*VLOOKUP($R70,Afgr,Data!$BF$3)*0.001,$AM70*100*$DM70*0.01*VLOOKUP($R70,Afgr,Data!$BF$3)*0.001)</f>
        <v>22.372</v>
      </c>
      <c r="DW70">
        <f>DV70*Z70</f>
        <v>344.75252</v>
      </c>
      <c r="DY70">
        <f>IF(ISERROR(VLOOKUP(R70,Afgr,Data!$AZ$3)*DL70/DG70),0,VLOOKUP(R70,Afgr,Data!$AZ$3)*DL70/DG70)</f>
        <v>3.52804469273743</v>
      </c>
      <c r="DZ70">
        <f>VLOOKUP(R70,Afgr,Data!$AU$3)</f>
        <v>85</v>
      </c>
      <c r="EA70">
        <f>IF($S70=1,$BC70*$DZ70*0.01*DY70*0.01,0)</f>
        <v>89.965139664804468</v>
      </c>
      <c r="EB70">
        <f>EA70/6.25</f>
        <v>14.394422346368716</v>
      </c>
      <c r="EC70">
        <f>EB70*Z70</f>
        <v>221.8180483575419</v>
      </c>
      <c r="EE70">
        <f>IF($S70=1,$BC70*$DZ70*0.01*VLOOKUP($R70,Afgr,Data!$BD$3)*0.001,0)</f>
        <v>2.2949999999999999</v>
      </c>
      <c r="EF70">
        <f>EE70*Z70</f>
        <v>35.365949999999998</v>
      </c>
      <c r="EH70">
        <f>IF($S70=1,$BC70*$DZ70*0.01*VLOOKUP($R70,Afgr,Data!$BG$3)*0.001,0)</f>
        <v>30.6</v>
      </c>
      <c r="EI70">
        <f>EH70*Z70</f>
        <v>471.54600000000005</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90.944999999999993</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27</v>
      </c>
      <c r="FG70" s="211">
        <f>FF70*Z70</f>
        <v>416.07</v>
      </c>
      <c r="FH70" s="211">
        <f>CE70+CH70+CO70</f>
        <v>87</v>
      </c>
      <c r="FI70" s="211">
        <f>FH70*Z70</f>
        <v>1340.67</v>
      </c>
      <c r="FJ70">
        <f>VLOOKUP($R70,Afgr,Data!$DK$3)*VLOOKUP($R70,Afgr,Data!$AT$3)*0.01*VLOOKUP($R70,Afgr,Data!$AW$3)*0.01/6.25</f>
        <v>2.4344000000000001</v>
      </c>
      <c r="FK70">
        <f>FJ70*Z70</f>
        <v>37.514104000000003</v>
      </c>
      <c r="FL70" s="4">
        <f>IF(R70&gt;1,Deposition,0)</f>
        <v>15</v>
      </c>
      <c r="FM70" s="4">
        <f>FL70*Z70</f>
        <v>231.15</v>
      </c>
      <c r="FN70">
        <f>FC70</f>
        <v>0</v>
      </c>
      <c r="FO70">
        <f>FN70*Z70</f>
        <v>0</v>
      </c>
      <c r="FP70" s="211">
        <f>SUM(FF70,FH70,FJ70,FL70,FN70)</f>
        <v>131.43439999999998</v>
      </c>
      <c r="FQ70">
        <f>DP70+EB70+EL70</f>
        <v>89.545302346368715</v>
      </c>
      <c r="FR70" s="3">
        <f>FP70-FQ70</f>
        <v>41.889097653631268</v>
      </c>
      <c r="FS70" s="19">
        <f>FP70*Z70</f>
        <v>2025.4041039999997</v>
      </c>
      <c r="FT70" s="19">
        <f>FQ70*Z70</f>
        <v>1379.8931091575419</v>
      </c>
      <c r="FU70" s="3">
        <f>FR70*Z70</f>
        <v>645.51099484245788</v>
      </c>
      <c r="FW70">
        <f>CW70</f>
        <v>17</v>
      </c>
      <c r="FX70">
        <f>FW70*Z70</f>
        <v>261.97000000000003</v>
      </c>
      <c r="FY70">
        <f>IX70+MB70</f>
        <v>20.383000000000003</v>
      </c>
      <c r="FZ70">
        <f>FY70*Z70</f>
        <v>314.10203000000007</v>
      </c>
      <c r="GA70">
        <f>FW70-FY70</f>
        <v>-3.3830000000000027</v>
      </c>
      <c r="GB70">
        <f>GA70*Z70</f>
        <v>-52.132030000000043</v>
      </c>
      <c r="GD70">
        <f>DE70</f>
        <v>47</v>
      </c>
      <c r="GE70">
        <f>GD70*Z70</f>
        <v>724.27</v>
      </c>
      <c r="GF70">
        <f>JE70+MH70</f>
        <v>52.972000000000001</v>
      </c>
      <c r="GG70">
        <f>GF70*Z70</f>
        <v>816.29852000000005</v>
      </c>
      <c r="GH70">
        <f>GD70-GF70</f>
        <v>-5.9720000000000013</v>
      </c>
      <c r="GI70">
        <f>GH70*Z70</f>
        <v>-92.028520000000015</v>
      </c>
      <c r="GK70">
        <f>AA70</f>
        <v>1</v>
      </c>
      <c r="GL70" s="211">
        <f>FF70+FH70+FN70</f>
        <v>114</v>
      </c>
      <c r="GM70" s="211">
        <f>IF(R70=1,"",IF(GK70=1,GL70,""))</f>
        <v>114</v>
      </c>
      <c r="GN70" s="211" t="str">
        <f>IF(R70=1,"",IF(GK70=2,GL70,""))</f>
        <v/>
      </c>
      <c r="GO70" s="211" t="str">
        <f>IF(R70=1,"",IF(GK70=3,GL70,""))</f>
        <v/>
      </c>
      <c r="GP70" s="211" t="str">
        <f>IF(R70=1,"",IF(GK70=4,GL70,""))</f>
        <v/>
      </c>
      <c r="GQ70" s="149">
        <f>IF(OR(R70=1,VLOOKUP(R70,Afgr,Data!$BV$3)=1,VLOOKUP(R70,Afgr,Data!$BW$3)=1),0,IF(GK70=1,Nniveau1,IF(GK70=2,Nniveau2,IF(GK70=3,Nniveau3,IF(GK70=4,Nniveau4,GL70)))))</f>
        <v>197.65542292344122</v>
      </c>
      <c r="GR70" s="241">
        <v>0.32550000000000001</v>
      </c>
      <c r="GS70" s="6">
        <v>0</v>
      </c>
      <c r="GT70" s="149">
        <f>CC70+CM70</f>
        <v>90.944999999999993</v>
      </c>
      <c r="GU70" s="6">
        <f>$FN70</f>
        <v>0</v>
      </c>
      <c r="GV70" s="241">
        <v>0.25280000000000002</v>
      </c>
      <c r="GW70">
        <f>CO70</f>
        <v>0</v>
      </c>
      <c r="GX70" s="241">
        <v>0.376</v>
      </c>
      <c r="GY70" s="149">
        <f>CD70+CN70</f>
        <v>0</v>
      </c>
      <c r="GZ70" s="241">
        <f>IF(B70&gt;3,0.3539,1.0749)</f>
        <v>0.35389999999999999</v>
      </c>
      <c r="HA70" s="11">
        <f>$FQ70</f>
        <v>89.545302346368715</v>
      </c>
      <c r="HB70" s="241">
        <v>0.19359999999999999</v>
      </c>
      <c r="HC70" s="241">
        <f>VLOOKUP($R70,Afgr,Data!$DM$3)</f>
        <v>1</v>
      </c>
      <c r="HD70" s="24">
        <f>IF($HC70&gt;1,0,(VLOOKUP($X70,Afgr,Data!$DP$3)+IF(VLOOKUP($X70,Afgr,Data!$DP$3)=0,VLOOKUP($T70,Efgr,Data!$BI$53,0))))+IF(AND($HC70=7,VLOOKUP($X70,Afgr,Data!$DQ$3)=-2),-2,0)+IF(AND($HC70=6,VLOOKUP($T70,Efgr,Data!$BI$53)=2),8,0)</f>
        <v>2</v>
      </c>
      <c r="HE70" s="6">
        <f>VLOOKUP(SUM(HC70:HD70),Nlesafgr,3)</f>
        <v>-98.6</v>
      </c>
      <c r="HF70" s="7">
        <f>VLOOKUP($O70,Afgr,Data!$DN$3)</f>
        <v>1</v>
      </c>
      <c r="HG70" s="24">
        <f>IF(HF70&gt;1,0,VLOOKUP($R70,Afgr,Data!$DO$3)+IF(VLOOKUP($R70,Afgr,Data!$DO$3)=1,0,VLOOKUP($P70,Efgr,Data!$BJ$53)))</f>
        <v>1</v>
      </c>
      <c r="HH70" s="6">
        <f>VLOOKUP(SUM(HF70:HG70),Nlesforfrugt,3)</f>
        <v>14.2</v>
      </c>
      <c r="HI70" s="241">
        <f>GR70*GQ70+GV70*(GT70+GU70)+GX70*GW70+GZ70*GY70-HB70*HA70+HE70+HH70</f>
        <v>-14.408234372676876</v>
      </c>
      <c r="HJ70" s="241">
        <f>Nlesafskaering</f>
        <v>59.6</v>
      </c>
      <c r="HK70" s="241">
        <f>Teknologi1</f>
        <v>2455</v>
      </c>
      <c r="HL70" s="6">
        <v>2001</v>
      </c>
      <c r="HM70" s="241">
        <f>Teknologi2</f>
        <v>1962.2</v>
      </c>
      <c r="HN70" s="241">
        <f>Tandel</f>
        <v>0.54659999999999997</v>
      </c>
      <c r="HO70" s="241">
        <f>IF(OR(HI70&gt;0,HI70=0),HJ70+HK70/(HL70-HM70),HJ70+HK70/(HL70-HM70)+HN70*HI70)</f>
        <v>114.99765496818355</v>
      </c>
      <c r="HP70" s="241">
        <f>IF(HI70&gt;0,HI70,0.001)</f>
        <v>1E-3</v>
      </c>
      <c r="HQ70" s="241">
        <v>1.5020000000000001E-3</v>
      </c>
      <c r="HR70" s="24">
        <f>IF(R70=1,0,VLOOKUP(PostnrNbal,AfstromData,VLOOKUP($R70,Afgr,Data!$DL$3)+IF(Jordtype1&lt;7,Jordtype1,6),FALSE)-VLOOKUP(T70,Efgr,Data!$AA$53))</f>
        <v>284.76666666666603</v>
      </c>
      <c r="HS70" s="24">
        <f>IF(Nbal!GA70&lt;&gt;"",Nbal!GA70,Regn2!HR70)</f>
        <v>284.76666666666603</v>
      </c>
      <c r="HT70" s="241">
        <v>5.5400000000000002E-4</v>
      </c>
      <c r="HU70" s="24">
        <f>IF(R70=1,0,VLOOKUP(PostnrNbal,AfstromData,VLOOKUP($O70,Afgr,Data!$DL$3)+IF(B70&lt;7,B70,6),FALSE)-VLOOKUP(P70,Efgr,Data!$AA$53))</f>
        <v>284.76666666666603</v>
      </c>
      <c r="HV70" s="24">
        <f>IF(Nbal!FU70&lt;&gt;"",Nbal!FU70,Regn2!HU70)</f>
        <v>284.76666666666603</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20.942767723685982</v>
      </c>
      <c r="ID70">
        <f>IC70*Z70</f>
        <v>322.72805062200098</v>
      </c>
      <c r="IE70">
        <f>IF(Nbal!GF70&lt;&gt;"",Nbal!GF70,RetentionNbal)</f>
        <v>65</v>
      </c>
      <c r="IF70">
        <f>IC70*(100-IE70)*0.01</f>
        <v>7.3299687032900946</v>
      </c>
      <c r="IG70">
        <f>IF70*Z70</f>
        <v>112.95481771770037</v>
      </c>
      <c r="IH70" s="2">
        <f>HS70*10000</f>
        <v>2847666.6666666605</v>
      </c>
      <c r="II70" s="2">
        <f>IH70*Z70</f>
        <v>43882543.333333239</v>
      </c>
      <c r="IJ70">
        <f>IF(ISERROR(IC70*1000*1000/IH70),0,IC70*1000*1000/IH70)</f>
        <v>7.3543606661662286</v>
      </c>
      <c r="IL70">
        <f>AT70+AX70+BK70+BU70</f>
        <v>9620</v>
      </c>
      <c r="IO70">
        <f>VLOOKUP(R70,Afgr,Data!$AP$3)*UdsaedJust</f>
        <v>488</v>
      </c>
      <c r="IP70" s="3">
        <f>IF(Nbal!GN70&lt;&gt;"",Nbal!GN70,IO70)</f>
        <v>488</v>
      </c>
      <c r="IQ70" s="3">
        <f>IP70*Z70</f>
        <v>7520.08</v>
      </c>
      <c r="IS70" s="3">
        <f>IF(HdgVaerdiNbal=1,(BZ70+CA70)*Npris,(BZ70+CA70+CJ70+CK70)*Npris)</f>
        <v>228.14999999999998</v>
      </c>
      <c r="IT70" s="3">
        <f>IS70*Z70</f>
        <v>3515.7914999999998</v>
      </c>
      <c r="IV70">
        <f>VLOOKUP($R70,Afgr,Data!$BA$3)</f>
        <v>0</v>
      </c>
      <c r="IW70">
        <f>VLOOKUP($R70,Afgr,Data!$BB$3)</f>
        <v>2.5</v>
      </c>
      <c r="IX70">
        <f>$DS70+$EE70</f>
        <v>20.383000000000003</v>
      </c>
      <c r="IY70">
        <f>CT70</f>
        <v>17</v>
      </c>
      <c r="IZ70">
        <f>CQ70</f>
        <v>0</v>
      </c>
      <c r="JA70" s="3">
        <f>IF(HdgVaerdiNbal=1,(IZ70)*Ppris,(IY70+IZ70)*Ppris)</f>
        <v>0</v>
      </c>
      <c r="JB70" s="3">
        <f>JA70*Z70</f>
        <v>0</v>
      </c>
      <c r="JD70">
        <f>IF(AND(R70&gt;1,OR(Jordtype1=1,Jordtype1=3,Markvand1=2)),Kudvask,0)</f>
        <v>0</v>
      </c>
      <c r="JE70">
        <f>$DV70+$EH70</f>
        <v>52.972000000000001</v>
      </c>
      <c r="JF70">
        <f>DB70</f>
        <v>47</v>
      </c>
      <c r="JG70">
        <f>CY70</f>
        <v>0</v>
      </c>
      <c r="JH70" s="3">
        <f>IF(HdgVaerdiNbal=1,JG70*Kpris,(JF70+JG70)*Kpris)</f>
        <v>0</v>
      </c>
      <c r="JI70" s="3">
        <f>JH70*Z70</f>
        <v>0</v>
      </c>
      <c r="JK70">
        <f>IS70+JA70+JH70</f>
        <v>228.14999999999998</v>
      </c>
      <c r="JL70" s="3">
        <f>IF(Nbal!GT70&lt;&gt;"",Nbal!GT70,$JK70)</f>
        <v>228.14999999999998</v>
      </c>
      <c r="JM70" s="3">
        <f>JL70*Z70</f>
        <v>3515.7914999999998</v>
      </c>
      <c r="JO70">
        <f>VLOOKUP(R70,Afgr,Data!$AQ$3)*PlantevJust</f>
        <v>283</v>
      </c>
      <c r="JP70" s="3">
        <f>IF(Nbal!GZ70&lt;&gt;"",Nbal!GZ70,JO70)</f>
        <v>283</v>
      </c>
      <c r="JQ70" s="3">
        <f>JP70*Z70</f>
        <v>4361.03</v>
      </c>
      <c r="JS70">
        <f>VLOOKUP(R70,Afgr,Data!$AR$3)+AM70*VLOOKUP(R70,Afgr,Data!$BH$3)</f>
        <v>0</v>
      </c>
      <c r="JT70" s="3">
        <f>IF(Nbal!HF70&lt;&gt;"",Nbal!HF70,JS70)</f>
        <v>0</v>
      </c>
      <c r="JU70">
        <f>JT70*Z70</f>
        <v>0</v>
      </c>
      <c r="JW70">
        <f>IP70+JL70+JP70+JT70</f>
        <v>999.15</v>
      </c>
      <c r="JY70">
        <f>IF(VLOOKUP(R70,Afgr,Data!$BY$3)&gt;0,Data!$K$259*J70,0)</f>
        <v>600</v>
      </c>
      <c r="JZ70">
        <f>IF(VLOOKUP(R70,Afgr,Data!$BZ$3)&gt;0,Data!$K$260*J70,0)</f>
        <v>0</v>
      </c>
      <c r="KA70">
        <f>(JY70+JZ70)*MaskJust</f>
        <v>600</v>
      </c>
      <c r="KB70" s="3">
        <f>IF(Nbal!HL70&lt;&gt;"",Nbal!HL70,KA70)</f>
        <v>600</v>
      </c>
      <c r="KC70" s="3">
        <f>KB70*Z70</f>
        <v>9246</v>
      </c>
      <c r="KE70">
        <f>IF(VLOOKUP(R70,Afgr,Data!$CA$3)&gt;0,VLOOKUP(R70,Afgr,Data!$CA$3)*Data!$K$261*K70,0)</f>
        <v>0</v>
      </c>
      <c r="KF70">
        <f>IF(VLOOKUP(R70,Afgr,Data!$CC$3)&gt;0,Data!$K$262*K70,0)</f>
        <v>350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350</v>
      </c>
      <c r="KM70" s="3">
        <f>IF(Nbal!HR70&lt;&gt;"",Nbal!HR70,KL70)</f>
        <v>350</v>
      </c>
      <c r="KN70" s="3">
        <f>KM70*Z70</f>
        <v>5393.5</v>
      </c>
      <c r="KP70">
        <f>IF(VLOOKUP(R70,Afgr,Data!$CJ$3)&gt;0,VLOOKUP(R70,Afgr,Data!$CJ$3)*Data!$K$268*K70,0)*MaskJust</f>
        <v>140</v>
      </c>
      <c r="KQ70" s="3">
        <f>IF(Nbal!HX70&lt;&gt;"",Nbal!HX70,KP70)</f>
        <v>140</v>
      </c>
      <c r="KR70" s="3">
        <f>KQ70*Z70</f>
        <v>2157.4</v>
      </c>
      <c r="KT70">
        <f>IF(VLOOKUP(R70,Afgr,Data!$CI$3)&gt;0,VLOOKUP(R70,Afgr,Data!$CI$3)*Data!$K$269,0)*MaskJust</f>
        <v>300</v>
      </c>
      <c r="KU70" s="3">
        <f>IF(Nbal!ID70&lt;&gt;"",Nbal!ID70,KT70)</f>
        <v>300</v>
      </c>
      <c r="KV70" s="3">
        <f>KU70*Z70</f>
        <v>4623</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746.47058823529403</v>
      </c>
      <c r="LE70">
        <f>IF(VLOOKUP($R70,Afgr,Data!$CK$3)&gt;0,IF(AND($S70=2,$BA70&gt;0),Data!$K$271,0),0)</f>
        <v>0</v>
      </c>
      <c r="LF70">
        <f>IF(VLOOKUP($R70,Afgr,Data!$CK$3)&gt;0,(AM70/VLOOKUP($R70,Afgr,Data!$CK$3))*VLOOKUP($R70,Afgr,Data!$CO$3)*VLOOKUP($R70,Afgr,Data!$CN$3),0)</f>
        <v>214.11764705882354</v>
      </c>
      <c r="LG70">
        <f>(LD70+LE70+LF70)*MaskJust</f>
        <v>960.58823529411757</v>
      </c>
      <c r="LH70" s="3">
        <f>IF(Nbal!IV70&lt;&gt;"",Nbal!IV70,LG70)</f>
        <v>960.58823529411757</v>
      </c>
      <c r="LI70" s="3">
        <f>LH70*Z70</f>
        <v>14802.664705882351</v>
      </c>
      <c r="LJ70" s="3"/>
      <c r="LK70">
        <f>IF(AND($S70=1,VLOOKUP($R70,Afgr,Data!$CP$3)&gt;0),((1+$BC70/VLOOKUP($R70,Afgr,Data!$CP$3))/2)*VLOOKUP($R70,Afgr,Data!$CQ$3),0)</f>
        <v>525</v>
      </c>
      <c r="LL70">
        <f>IF(AND($S70=1,VLOOKUP($R70,Afgr,Data!$CP$3)&gt;0),($BC70/VLOOKUP($R70,Afgr,Data!$CP$3))*VLOOKUP($R70,Afgr,Data!$CR$3),0)</f>
        <v>200</v>
      </c>
      <c r="LM70">
        <f>(LK70+LL70)*MaskJust</f>
        <v>725</v>
      </c>
      <c r="LN70" s="3">
        <f>IF(Nbal!JB70&lt;&gt;"",Nbal!JB70,LM70)</f>
        <v>725</v>
      </c>
      <c r="LO70" s="3">
        <f>LN70*Z70</f>
        <v>11172.25</v>
      </c>
      <c r="LQ70">
        <f>$AM70*VLOOKUP($R70,Afgr,Data!$CS$3)*IF($V70=1,VLOOKUP($R70,Afgr,Data!$CT$3),IF($V70=2,VLOOKUP($R70,Afgr,Data!$CU$3),0))</f>
        <v>517.44000000000005</v>
      </c>
      <c r="LR70" s="3">
        <f>IF(Nbal!JK70&lt;&gt;"",Nbal!JK70,LQ70)</f>
        <v>517.44000000000005</v>
      </c>
      <c r="LS70" s="3">
        <f>LR70*Z70</f>
        <v>7973.7504000000008</v>
      </c>
      <c r="LU70">
        <f>VLOOKUP($T70,Efgr,Data!$AC$53)*UdsaedJust</f>
        <v>280</v>
      </c>
      <c r="LV70" s="3">
        <f>IF(Nbal!$JS70&lt;&gt;"",Nbal!$JS70,LU70)</f>
        <v>280</v>
      </c>
      <c r="LW70" s="3">
        <f>LV70*Z70</f>
        <v>4314.8</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280</v>
      </c>
      <c r="NB70">
        <f>VLOOKUP($T70,Efgr,Data!$AU$53)*K70*MaskJust</f>
        <v>75</v>
      </c>
      <c r="NC70" s="3">
        <f>IF(Nbal!KQ70&lt;&gt;"",Nbal!KQ70,NB70)</f>
        <v>75</v>
      </c>
      <c r="ND70" s="3">
        <f>NC70*Z70</f>
        <v>1155.75</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180</v>
      </c>
      <c r="OA70" s="3">
        <f>IF(Nbal!MA70&lt;&gt;"",Nbal!MA70,NZ70)</f>
        <v>180</v>
      </c>
      <c r="OB70" s="3">
        <f>OA70*Z70</f>
        <v>2773.8</v>
      </c>
      <c r="OD70">
        <f>IL70</f>
        <v>9620</v>
      </c>
      <c r="OE70">
        <f>JW70+MZ70</f>
        <v>1279.1500000000001</v>
      </c>
      <c r="OF70">
        <f>OD70-OE70</f>
        <v>8340.85</v>
      </c>
      <c r="OG70">
        <f>OF70*Z70</f>
        <v>128532.4985</v>
      </c>
      <c r="OJ70">
        <f>VLOOKUP($O70,Afgr,Data!$BP$3)+VLOOKUP($P70,Efgr,Data!$AM$53)</f>
        <v>1</v>
      </c>
      <c r="OK70" s="3">
        <f>OJ70*Z70</f>
        <v>15.41</v>
      </c>
      <c r="OL70">
        <f>VLOOKUP($R70,Afgr,Data!$BP$3)+VLOOKUP($T70,Efgr,Data!$AM$53)</f>
        <v>1</v>
      </c>
      <c r="OM70" s="3">
        <f>OL70*Z70</f>
        <v>15.41</v>
      </c>
      <c r="OO70">
        <f>VLOOKUP($P70,Efgr,Data!$AN$53)</f>
        <v>1</v>
      </c>
      <c r="OP70">
        <f>VLOOKUP($O70,Afgr,Data!$BQ$3)</f>
        <v>1</v>
      </c>
      <c r="OQ70">
        <f>VLOOKUP($R70,Afgr,Data!$BR$3)</f>
        <v>1</v>
      </c>
      <c r="OR70">
        <f>OO70*OP70*OQ70</f>
        <v>1</v>
      </c>
      <c r="OS70" s="3">
        <f>OR70*Z70</f>
        <v>15.41</v>
      </c>
      <c r="OT70" s="3">
        <f>IF(Q70,1,0)*OS70</f>
        <v>0</v>
      </c>
      <c r="OV70">
        <f>VLOOKUP($T70,Efgr,Data!$AN$53)</f>
        <v>1</v>
      </c>
      <c r="OW70">
        <f>VLOOKUP($R70,Afgr,Data!$BQ$3)</f>
        <v>1</v>
      </c>
      <c r="OX70">
        <f>VLOOKUP($X70,Afgr,Data!$BR$3)</f>
        <v>1</v>
      </c>
      <c r="OY70">
        <f>OV70*OW70*OX70</f>
        <v>1</v>
      </c>
      <c r="OZ70" s="3">
        <f>OY70*Z70</f>
        <v>15.41</v>
      </c>
      <c r="PB70">
        <f>VLOOKUP($T70,Efgr,Data!$AO$53)</f>
        <v>0</v>
      </c>
      <c r="PC70">
        <f>VLOOKUP($O70,Afgr,Data!$BQ$3)</f>
        <v>1</v>
      </c>
      <c r="PD70">
        <f>VLOOKUP($R70,Afgr,Data!$BS$3)</f>
        <v>0</v>
      </c>
      <c r="PE70" s="3">
        <f>PB70*PC70*PD70*$Z70</f>
        <v>0</v>
      </c>
      <c r="PG70">
        <f>VLOOKUP($T70,Efgr,Data!$AO$53)</f>
        <v>0</v>
      </c>
      <c r="PH70">
        <f>VLOOKUP($R70,Afgr,Data!$BQ$3)</f>
        <v>1</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1</v>
      </c>
      <c r="PU70" s="3">
        <f>PT70*Z70</f>
        <v>15.41</v>
      </c>
      <c r="PV70">
        <f>VLOOKUP($R70,Afgr,Data!$BT$3)</f>
        <v>1</v>
      </c>
      <c r="PW70" s="3">
        <f>PV70*Z70</f>
        <v>15.41</v>
      </c>
      <c r="PY70">
        <f>VLOOKUP($R70,Afgr,Data!$BV$3)</f>
        <v>0</v>
      </c>
      <c r="PZ70">
        <f>PY70*Z70</f>
        <v>0</v>
      </c>
      <c r="QB70">
        <f>VLOOKUP($R70,Afgr,Data!$BW$3)</f>
        <v>0</v>
      </c>
      <c r="QC70">
        <f>QB70*Z70</f>
        <v>0</v>
      </c>
      <c r="QE70">
        <f>AM70*IF(VLOOKUP($R70,Afgr,Data!$BJ$3)&gt;0,1,0)</f>
        <v>56</v>
      </c>
      <c r="QF70">
        <f>QE70*Z70</f>
        <v>862.96</v>
      </c>
      <c r="QH70">
        <f>AM70*VLOOKUP(R70,Afgr,Data!$BK$3)</f>
        <v>5292</v>
      </c>
      <c r="QI70">
        <f>Z70*QH70</f>
        <v>81549.72</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88021.92</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1</v>
      </c>
      <c r="RB70">
        <f>RA70*LW70</f>
        <v>4314.8</v>
      </c>
      <c r="RC70">
        <f>RA70*MT70</f>
        <v>0</v>
      </c>
      <c r="RD70">
        <f>ND70</f>
        <v>1155.75</v>
      </c>
      <c r="RE70">
        <f>RA70*OB70</f>
        <v>2773.8</v>
      </c>
      <c r="RH70">
        <f>VLOOKUP(B70,Jordtype,Data!$Y$112+DenitNr-1)</f>
        <v>7.25</v>
      </c>
      <c r="RI70">
        <f>FF70*VLOOKUP(B70,Jordtype,Data!$AB$112+DenitNr-1)</f>
        <v>1.08</v>
      </c>
      <c r="RJ70">
        <f>((CJ70+CK70+CL70+Regn2!CO70*0.7)-(RR70+RT70))*VLOOKUP(B70,Jordtype,Data!$AE$112+DenitNr-1)</f>
        <v>7.9550625000000013</v>
      </c>
      <c r="RK70">
        <f>0*VLOOKUP(B70,Jordtype,Data!$AE$112+DenitNr-1)</f>
        <v>0</v>
      </c>
      <c r="RL70">
        <f>Regn2!FD70*VLOOKUP(B70,Jordtype,Data!$AH$112+DenitNr-1)</f>
        <v>0</v>
      </c>
      <c r="RM70" s="3">
        <f>RH70+RI70+RJ70+RK70+RL70</f>
        <v>16.285062500000002</v>
      </c>
      <c r="RO70">
        <v>2</v>
      </c>
      <c r="RP70">
        <f>(FF70)*RO70*0.01</f>
        <v>0.54</v>
      </c>
      <c r="RQ70">
        <v>7</v>
      </c>
      <c r="RR70">
        <f>CE70*RQ70*0.01</f>
        <v>0</v>
      </c>
      <c r="RS70">
        <v>7</v>
      </c>
      <c r="RT70">
        <f>(Regn2!CF70+Regn2!CG70)*RS70*0.01</f>
        <v>6.09</v>
      </c>
      <c r="RW70">
        <f>VLOOKUP(R70,Afgr,Data!$EE$3)</f>
        <v>5</v>
      </c>
      <c r="RX70" s="3">
        <f>RP70+RR70+RT70+RV70+RW70</f>
        <v>11.629999999999999</v>
      </c>
    </row>
    <row r="72" spans="1:492" x14ac:dyDescent="0.25">
      <c r="A72" s="214" t="str">
        <f>Nbal!B72</f>
        <v>980-0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29</v>
      </c>
      <c r="P72">
        <v>1</v>
      </c>
      <c r="Q72" t="b">
        <v>0</v>
      </c>
      <c r="R72">
        <v>29</v>
      </c>
      <c r="S72">
        <v>1</v>
      </c>
      <c r="T72">
        <v>1</v>
      </c>
      <c r="U72">
        <v>1</v>
      </c>
      <c r="V72">
        <v>1</v>
      </c>
      <c r="X72">
        <v>29</v>
      </c>
      <c r="Z72">
        <f>Nbal!AG72</f>
        <v>1.66</v>
      </c>
      <c r="AA72">
        <v>3</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2100</v>
      </c>
      <c r="AX72" s="3">
        <f>IF(Nbal!DC72&lt;&gt;"",Nbal!DC72,AW72)</f>
        <v>2100</v>
      </c>
      <c r="AY72" s="3">
        <f>AX72*Z72</f>
        <v>3486</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15</v>
      </c>
      <c r="FM72" s="4">
        <f>FL72*Z72</f>
        <v>24.9</v>
      </c>
      <c r="FN72">
        <f>FC72</f>
        <v>0</v>
      </c>
      <c r="FO72">
        <f>FN72*Z72</f>
        <v>0</v>
      </c>
      <c r="FP72" s="211">
        <f>SUM(FF72,FH72,FJ72,FL72,FN72)</f>
        <v>15</v>
      </c>
      <c r="FQ72">
        <f>DP72+EB72+EL72</f>
        <v>0</v>
      </c>
      <c r="FR72" s="3">
        <f>FP72-FQ72</f>
        <v>15</v>
      </c>
      <c r="FS72" s="19">
        <f>FP72*Z72</f>
        <v>24.9</v>
      </c>
      <c r="FT72" s="19">
        <f>FQ72*Z72</f>
        <v>0</v>
      </c>
      <c r="FU72" s="3">
        <f>FR72*Z72</f>
        <v>24.9</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3</v>
      </c>
      <c r="GL72" s="211">
        <f>FF72+FH72+FN72</f>
        <v>0</v>
      </c>
      <c r="GM72" s="211" t="str">
        <f>IF(R72=1,"",IF(GK72=1,GL72,""))</f>
        <v/>
      </c>
      <c r="GN72" s="211" t="str">
        <f>IF(R72=1,"",IF(GK72=2,GL72,""))</f>
        <v/>
      </c>
      <c r="GO72" s="211">
        <f>IF(R72=1,"",IF(GK72=3,GL72,""))</f>
        <v>0</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7</v>
      </c>
      <c r="HD72" s="24">
        <f>IF($HC72&gt;1,0,(VLOOKUP($X72,Afgr,Data!$DP$3)+IF(VLOOKUP($X72,Afgr,Data!$DP$3)=0,VLOOKUP($T72,Efgr,Data!$BI$53,0))))+IF(AND($HC72=7,VLOOKUP($X72,Afgr,Data!$DQ$3)=-2),-2,0)+IF(AND($HC72=6,VLOOKUP($T72,Efgr,Data!$BI$53)=2),8,0)</f>
        <v>0</v>
      </c>
      <c r="HE72" s="6">
        <f>VLOOKUP(SUM(HC72:HD72),Nlesafgr,3)</f>
        <v>-165.7</v>
      </c>
      <c r="HF72" s="7">
        <f>VLOOKUP($O72,Afgr,Data!$DN$3)</f>
        <v>4</v>
      </c>
      <c r="HG72" s="24">
        <f>IF(HF72&gt;1,0,VLOOKUP($R72,Afgr,Data!$DO$3)+IF(VLOOKUP($R72,Afgr,Data!$DO$3)=1,0,VLOOKUP($P72,Efgr,Data!$BJ$53)))</f>
        <v>0</v>
      </c>
      <c r="HH72" s="6">
        <f>VLOOKUP(SUM(HF72:HG72),Nlesforfrugt,3)</f>
        <v>34.700000000000003</v>
      </c>
      <c r="HI72" s="241">
        <f>GR72*GQ72+GV72*(GT72+GU72)+GX72*GW72+GZ72*GY72-HB72*HA72+HE72+HH72</f>
        <v>-131</v>
      </c>
      <c r="HJ72" s="241">
        <f>Nlesafskaering</f>
        <v>59.6</v>
      </c>
      <c r="HK72" s="241">
        <f>Teknologi1</f>
        <v>2455</v>
      </c>
      <c r="HL72" s="6">
        <v>2001</v>
      </c>
      <c r="HM72" s="241">
        <f>Teknologi2</f>
        <v>1962.2</v>
      </c>
      <c r="HN72" s="241">
        <f>Tandel</f>
        <v>0.54659999999999997</v>
      </c>
      <c r="HO72" s="241">
        <f>IF(OR(HI72&gt;0,HI72=0),HJ72+HK72/(HL72-HM72),HJ72+HK72/(HL72-HM72)+HN72*HI72)</f>
        <v>51.268595876288742</v>
      </c>
      <c r="HP72" s="241">
        <f>IF(HI72&gt;0,HI72,0.001)</f>
        <v>1E-3</v>
      </c>
      <c r="HQ72" s="241">
        <v>1.5020000000000001E-3</v>
      </c>
      <c r="HR72" s="24">
        <f>IF(R72=1,0,VLOOKUP(PostnrNbal,AfstromData,VLOOKUP($R72,Afgr,Data!$DL$3)+IF(Jordtype1&lt;7,Jordtype1,6),FALSE)-VLOOKUP(T72,Efgr,Data!$AA$53))</f>
        <v>272.32333333333298</v>
      </c>
      <c r="HS72" s="24">
        <f>IF(Nbal!GA72&lt;&gt;"",Nbal!GA72,Regn2!HR72)</f>
        <v>272.32333333333298</v>
      </c>
      <c r="HT72" s="241">
        <v>5.5400000000000002E-4</v>
      </c>
      <c r="HU72" s="24">
        <f>IF(R72=1,0,VLOOKUP(PostnrNbal,AfstromData,VLOOKUP($O72,Afgr,Data!$DL$3)+IF(B72&lt;7,B72,6),FALSE)-VLOOKUP(P72,Efgr,Data!$AA$53))</f>
        <v>272.32333333333298</v>
      </c>
      <c r="HV72" s="24">
        <f>IF(Nbal!FU72&lt;&gt;"",Nbal!FU72,Regn2!HU72)</f>
        <v>272.32333333333298</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9.0690864030581704</v>
      </c>
      <c r="ID72">
        <f>IC72*Z72</f>
        <v>15.054683429076562</v>
      </c>
      <c r="IE72">
        <f>IF(Nbal!GF72&lt;&gt;"",Nbal!GF72,RetentionNbal)</f>
        <v>65</v>
      </c>
      <c r="IF72">
        <f>IC72*(100-IE72)*0.01</f>
        <v>3.1741802410703599</v>
      </c>
      <c r="IG72">
        <f>IF72*Z72</f>
        <v>5.2691392001767969</v>
      </c>
      <c r="IH72" s="2">
        <f>HS72*10000</f>
        <v>2723233.3333333298</v>
      </c>
      <c r="II72" s="2">
        <f>IH72*Z72</f>
        <v>4520567.3333333274</v>
      </c>
      <c r="IJ72">
        <f>IF(ISERROR(IC72*1000*1000/IH72),0,IC72*1000*1000/IH72)</f>
        <v>3.3302641723899957</v>
      </c>
      <c r="IL72">
        <f>AT72+AX72+BK72+BU72</f>
        <v>2100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2100</v>
      </c>
      <c r="OE72">
        <f>JW72+MZ72</f>
        <v>0</v>
      </c>
      <c r="OF72">
        <f>OD72-OE72</f>
        <v>2100</v>
      </c>
      <c r="OG72">
        <f>OF72*Z72</f>
        <v>3486</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0</v>
      </c>
      <c r="OR72">
        <f>OO72*OP72*OQ72</f>
        <v>0</v>
      </c>
      <c r="OS72" s="3">
        <f>OR72*Z72</f>
        <v>0</v>
      </c>
      <c r="OT72" s="3">
        <f>IF(Q72,1,0)*OS72</f>
        <v>0</v>
      </c>
      <c r="OV72">
        <f>VLOOKUP($T72,Efgr,Data!$AN$53)</f>
        <v>0</v>
      </c>
      <c r="OW72">
        <f>VLOOKUP($R72,Afgr,Data!$BQ$3)</f>
        <v>0</v>
      </c>
      <c r="OX72">
        <f>VLOOKUP($X72,Afgr,Data!$BR$3)</f>
        <v>0</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1</v>
      </c>
      <c r="PR72">
        <f>IF(PQ72&gt;0,Z72,0)</f>
        <v>1.66</v>
      </c>
      <c r="PT72">
        <f>VLOOKUP($O72,Afgr,Data!$BT$3)</f>
        <v>0</v>
      </c>
      <c r="PU72" s="3">
        <f>PT72*Z72</f>
        <v>0</v>
      </c>
      <c r="PV72">
        <f>VLOOKUP($R72,Afgr,Data!$BT$3)</f>
        <v>0</v>
      </c>
      <c r="PW72" s="3">
        <f>PV72*Z72</f>
        <v>0</v>
      </c>
      <c r="PY72">
        <f>VLOOKUP($R72,Afgr,Data!$BV$3)</f>
        <v>1</v>
      </c>
      <c r="PZ72">
        <f>PY72*Z72</f>
        <v>1.66</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t="str">
        <f>Nbal!B74</f>
        <v>2-0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23</v>
      </c>
      <c r="P74">
        <v>1</v>
      </c>
      <c r="Q74" t="b">
        <v>0</v>
      </c>
      <c r="R74">
        <v>23</v>
      </c>
      <c r="S74">
        <v>1</v>
      </c>
      <c r="T74">
        <v>1</v>
      </c>
      <c r="U74">
        <v>1</v>
      </c>
      <c r="V74">
        <v>1</v>
      </c>
      <c r="X74">
        <v>40</v>
      </c>
      <c r="Z74">
        <f>Nbal!AG74</f>
        <v>4.24</v>
      </c>
      <c r="AA74">
        <v>1</v>
      </c>
      <c r="AB74">
        <f>VLOOKUP($R74,Afgr,G74)</f>
        <v>139</v>
      </c>
      <c r="AC74">
        <f>VLOOKUP($O74,Afgr,Data!$AI$3)*VLOOKUP(R74,Afgr,Data!$AJ$3)</f>
        <v>0</v>
      </c>
      <c r="AD74">
        <f>IF($Q74,0,VLOOKUP($P74,Efgr,(Data!$W$53+$V$6-1)))</f>
        <v>0</v>
      </c>
      <c r="AE74">
        <f>AB74-AC74-AD74</f>
        <v>139</v>
      </c>
      <c r="AF74">
        <f>AE74*Z74</f>
        <v>589.36</v>
      </c>
      <c r="AH74">
        <f>VLOOKUP(R74,Afgr,D74)</f>
        <v>10300</v>
      </c>
      <c r="AI74">
        <f>VLOOKUP(O74,Afgr,Data!$AL$3)*VLOOKUP(R74,Afgr,E74)</f>
        <v>0</v>
      </c>
      <c r="AJ74">
        <f>VLOOKUP(P74,Efgr,(Data!$Y$53+I74))</f>
        <v>0</v>
      </c>
      <c r="AK74">
        <f>AH74+AI74+AJ74</f>
        <v>10300</v>
      </c>
      <c r="AL74">
        <f>AH74+AI74+AJ74</f>
        <v>10300</v>
      </c>
      <c r="AM74" s="3">
        <f>IF(Nbal!CK74&lt;&gt;"",Nbal!CK74,AL74)</f>
        <v>10300</v>
      </c>
      <c r="AN74">
        <f>AM74*Z74</f>
        <v>43672</v>
      </c>
      <c r="AO74" t="str">
        <f>VLOOKUP(R74,Afgr,3)</f>
        <v>FE</v>
      </c>
      <c r="AP74">
        <f>IF(AO74="FE",VLOOKUP($R74,Afgr,Data!$AV$3),0)</f>
        <v>1.1399999999999999</v>
      </c>
      <c r="AR74">
        <f>VLOOKUP(R74,Afgr,4)</f>
        <v>1.2</v>
      </c>
      <c r="AS74" s="3">
        <f>IF(Nbal!CW74&lt;&gt;"",Nbal!CW74,AR74)</f>
        <v>1.2</v>
      </c>
      <c r="AT74" s="3">
        <f>AM74*AS74</f>
        <v>12360</v>
      </c>
      <c r="AU74" s="3">
        <f>AN74*AS74</f>
        <v>52406.400000000001</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20</v>
      </c>
      <c r="CB74" s="2">
        <f>Nbal!DZ74</f>
        <v>0</v>
      </c>
      <c r="CC74" s="211">
        <f>Nbal!AT74+Nbal!DZ74</f>
        <v>20</v>
      </c>
      <c r="CD74" s="211">
        <f>Nbal!AX74</f>
        <v>0</v>
      </c>
      <c r="CE74">
        <f>Nbal!BH74</f>
        <v>0</v>
      </c>
      <c r="CF74" s="211">
        <f>Nbal!BM74</f>
        <v>129</v>
      </c>
      <c r="CG74" s="2">
        <f>Nbal!EI74</f>
        <v>0</v>
      </c>
      <c r="CH74" s="211">
        <f>Nbal!BM74+Nbal!EI74</f>
        <v>129</v>
      </c>
      <c r="CI74" s="211">
        <f>Nbal!BW74</f>
        <v>0</v>
      </c>
      <c r="CJ74" s="211">
        <f>Nbal!BH74*Nbal!BJ74*0.01</f>
        <v>0</v>
      </c>
      <c r="CK74" s="211">
        <f>(Nbal!BM74*Nbal!BP74*0.01)</f>
        <v>94.814999999999998</v>
      </c>
      <c r="CL74" s="211">
        <f>(Nbal!EI74*Nbal!EL74*0.01)</f>
        <v>0</v>
      </c>
      <c r="CM74" s="211">
        <f>(Nbal!BM74*Nbal!BP74*0.01)+(Nbal!EI74*Nbal!EL74*0.01)</f>
        <v>94.814999999999998</v>
      </c>
      <c r="CN74" s="211">
        <f>Nbal!BW74*Nbal!BY74*0.01</f>
        <v>0</v>
      </c>
      <c r="CO74">
        <f>Nbal!BT74+Nbal!ER74</f>
        <v>0</v>
      </c>
      <c r="CQ74">
        <f>Nbal!BA74</f>
        <v>10</v>
      </c>
      <c r="CR74">
        <f>Nbal!EC74</f>
        <v>0</v>
      </c>
      <c r="CS74">
        <f>(CQ74+CR74)*Z74</f>
        <v>42.400000000000006</v>
      </c>
      <c r="CT74">
        <f>Nbal!CB74</f>
        <v>26</v>
      </c>
      <c r="CU74">
        <f>Nbal!EV74</f>
        <v>0</v>
      </c>
      <c r="CV74">
        <f>(CT74+CU74)*Z74</f>
        <v>110.24000000000001</v>
      </c>
      <c r="CW74">
        <f>Nbal!BA74+Nbal!CB74+Nbal!EC74+Nbal!EV74</f>
        <v>36</v>
      </c>
      <c r="CY74">
        <f>Nbal!BD74</f>
        <v>0</v>
      </c>
      <c r="CZ74">
        <f>Nbal!EF74</f>
        <v>0</v>
      </c>
      <c r="DA74">
        <f>(CY74+CZ74)*Z74</f>
        <v>0</v>
      </c>
      <c r="DB74">
        <f>Nbal!CE74</f>
        <v>71</v>
      </c>
      <c r="DC74">
        <f>Nbal!EY74</f>
        <v>0</v>
      </c>
      <c r="DD74">
        <f>(DB74+DC74)*Z74</f>
        <v>301.04000000000002</v>
      </c>
      <c r="DE74">
        <f>Nbal!BD74+Nbal!CE74+Nbal!EF74+Nbal!EY74</f>
        <v>71</v>
      </c>
      <c r="DG74">
        <f>VLOOKUP($R74,Afgr,Data!$AW$3)</f>
        <v>7.6</v>
      </c>
      <c r="DH74">
        <f>IF($AO74="FE",$AM74*$AP74*$DG74*0.01,$AM74*100*$DM74*0.01*$DG74*0.01)</f>
        <v>892.39199999999983</v>
      </c>
      <c r="DI74">
        <f>IF(VLOOKUP(R74,Afgr,Data!$BO$3)=1,DH74,0)*Z74</f>
        <v>0</v>
      </c>
      <c r="DJ74" s="12">
        <f>(BZ74+CC74+CJ74-AE74)*VLOOKUP($R74,Afgr,Data!$AX$3)</f>
        <v>-2.38</v>
      </c>
      <c r="DK74">
        <f>DG74+DJ74</f>
        <v>5.22</v>
      </c>
      <c r="DL74">
        <f>IF(Nbal!CQ74&lt;&gt;"",Nbal!CQ74,DK74)</f>
        <v>5.22</v>
      </c>
      <c r="DM74">
        <f>VLOOKUP(R74,Afgr,Data!$AT$3)</f>
        <v>0</v>
      </c>
      <c r="DN74">
        <f>IF($AO74="FE",$AM74*$AP74*$DL74*0.01,$AM74*100*$DM74*0.01*DL74*0.01)</f>
        <v>612.93239999999992</v>
      </c>
      <c r="DO74">
        <f>IF(VLOOKUP(R74,Afgr,Data!$BO$3)=1,DN74,0)*Z74</f>
        <v>0</v>
      </c>
      <c r="DP74">
        <f>IF(ISERROR(DN74/VLOOKUP(R74,Afgr,Data!$AY$3)),0,DN74/VLOOKUP(R74,Afgr,Data!$AY$3))</f>
        <v>98.069183999999993</v>
      </c>
      <c r="DQ74">
        <f>DP74*Z74</f>
        <v>415.81334016</v>
      </c>
      <c r="DS74">
        <f>IF($AO74="FE",$AM74*$AP74*VLOOKUP($R74,Afgr,Data!$BC$3)*0.001,$AM74*100*$DM74*0.01*VLOOKUP($R74,Afgr,Data!$BC$3)*0.001)</f>
        <v>30.529199999999999</v>
      </c>
      <c r="DT74">
        <f>DS74*Z74</f>
        <v>129.44380799999999</v>
      </c>
      <c r="DV74">
        <f>IF($AO74="FE",$AM74*$AP74*VLOOKUP($R74,Afgr,Data!$BF$3)*0.001,$AM74*100*$DM74*0.01*VLOOKUP($R74,Afgr,Data!$BF$3)*0.001)</f>
        <v>140.90399999999997</v>
      </c>
      <c r="DW74">
        <f>DV74*Z74</f>
        <v>597.43295999999987</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114.815</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20</v>
      </c>
      <c r="FG74" s="211">
        <f>FF74*Z74</f>
        <v>84.800000000000011</v>
      </c>
      <c r="FH74" s="211">
        <f>CE74+CH74+CO74</f>
        <v>129</v>
      </c>
      <c r="FI74" s="211">
        <f>FH74*Z74</f>
        <v>546.96</v>
      </c>
      <c r="FJ74">
        <f>VLOOKUP($R74,Afgr,Data!$DK$3)*VLOOKUP($R74,Afgr,Data!$AT$3)*0.01*VLOOKUP($R74,Afgr,Data!$AW$3)*0.01/6.25</f>
        <v>0</v>
      </c>
      <c r="FK74">
        <f>FJ74*Z74</f>
        <v>0</v>
      </c>
      <c r="FL74" s="4">
        <f>IF(R74&gt;1,Deposition,0)</f>
        <v>15</v>
      </c>
      <c r="FM74" s="4">
        <f>FL74*Z74</f>
        <v>63.6</v>
      </c>
      <c r="FN74">
        <f>FC74</f>
        <v>0</v>
      </c>
      <c r="FO74">
        <f>FN74*Z74</f>
        <v>0</v>
      </c>
      <c r="FP74" s="211">
        <f>SUM(FF74,FH74,FJ74,FL74,FN74)</f>
        <v>164</v>
      </c>
      <c r="FQ74">
        <f>DP74+EB74+EL74</f>
        <v>98.069183999999993</v>
      </c>
      <c r="FR74" s="3">
        <f>FP74-FQ74</f>
        <v>65.930816000000007</v>
      </c>
      <c r="FS74" s="19">
        <f>FP74*Z74</f>
        <v>695.36</v>
      </c>
      <c r="FT74" s="19">
        <f>FQ74*Z74</f>
        <v>415.81334016</v>
      </c>
      <c r="FU74" s="3">
        <f>FR74*Z74</f>
        <v>279.54665984000002</v>
      </c>
      <c r="FW74">
        <f>CW74</f>
        <v>36</v>
      </c>
      <c r="FX74">
        <f>FW74*Z74</f>
        <v>152.64000000000001</v>
      </c>
      <c r="FY74">
        <f>IX74+MB74</f>
        <v>30.529199999999999</v>
      </c>
      <c r="FZ74">
        <f>FY74*Z74</f>
        <v>129.44380799999999</v>
      </c>
      <c r="GA74">
        <f>FW74-FY74</f>
        <v>5.4708000000000006</v>
      </c>
      <c r="GB74">
        <f>GA74*Z74</f>
        <v>23.196192000000003</v>
      </c>
      <c r="GD74">
        <f>DE74</f>
        <v>71</v>
      </c>
      <c r="GE74">
        <f>GD74*Z74</f>
        <v>301.04000000000002</v>
      </c>
      <c r="GF74">
        <f>JE74+MH74</f>
        <v>140.90399999999997</v>
      </c>
      <c r="GG74">
        <f>GF74*Z74</f>
        <v>597.43295999999987</v>
      </c>
      <c r="GH74">
        <f>GD74-GF74</f>
        <v>-69.903999999999968</v>
      </c>
      <c r="GI74">
        <f>GH74*Z74</f>
        <v>-296.3929599999999</v>
      </c>
      <c r="GK74">
        <f>AA74</f>
        <v>1</v>
      </c>
      <c r="GL74" s="211">
        <f>FF74+FH74+FN74</f>
        <v>149</v>
      </c>
      <c r="GM74" s="211">
        <f>IF(R74=1,"",IF(GK74=1,GL74,""))</f>
        <v>149</v>
      </c>
      <c r="GN74" s="211" t="str">
        <f>IF(R74=1,"",IF(GK74=2,GL74,""))</f>
        <v/>
      </c>
      <c r="GO74" s="211" t="str">
        <f>IF(R74=1,"",IF(GK74=3,GL74,""))</f>
        <v/>
      </c>
      <c r="GP74" s="211" t="str">
        <f>IF(R74=1,"",IF(GK74=4,GL74,""))</f>
        <v/>
      </c>
      <c r="GQ74" s="149">
        <f>IF(OR(R74=1,VLOOKUP(R74,Afgr,Data!$BV$3)=1,VLOOKUP(R74,Afgr,Data!$BW$3)=1),0,IF(GK74=1,Nniveau1,IF(GK74=2,Nniveau2,IF(GK74=3,Nniveau3,IF(GK74=4,Nniveau4,GL74)))))</f>
        <v>197.65542292344122</v>
      </c>
      <c r="GR74" s="241">
        <v>0.32550000000000001</v>
      </c>
      <c r="GS74" s="6">
        <v>0</v>
      </c>
      <c r="GT74" s="149">
        <f>CC74+CM74</f>
        <v>114.815</v>
      </c>
      <c r="GU74" s="6">
        <f>$FN74</f>
        <v>0</v>
      </c>
      <c r="GV74" s="241">
        <v>0.25280000000000002</v>
      </c>
      <c r="GW74">
        <f>CO74</f>
        <v>0</v>
      </c>
      <c r="GX74" s="241">
        <v>0.376</v>
      </c>
      <c r="GY74" s="149">
        <f>CD74+CN74</f>
        <v>0</v>
      </c>
      <c r="GZ74" s="241">
        <f>IF(B74&gt;3,0.3539,1.0749)</f>
        <v>0.35389999999999999</v>
      </c>
      <c r="HA74" s="11">
        <f>$FQ74</f>
        <v>98.069183999999993</v>
      </c>
      <c r="HB74" s="241">
        <v>0.19359999999999999</v>
      </c>
      <c r="HC74" s="241">
        <f>VLOOKUP($R74,Afgr,Data!$DM$3)</f>
        <v>6</v>
      </c>
      <c r="HD74" s="24">
        <f>IF($HC74&gt;1,0,(VLOOKUP($X74,Afgr,Data!$DP$3)+IF(VLOOKUP($X74,Afgr,Data!$DP$3)=0,VLOOKUP($T74,Efgr,Data!$BI$53,0))))+IF(AND($HC74=7,VLOOKUP($X74,Afgr,Data!$DQ$3)=-2),-2,0)+IF(AND($HC74=6,VLOOKUP($T74,Efgr,Data!$BI$53)=2),8,0)</f>
        <v>0</v>
      </c>
      <c r="HE74" s="6">
        <f>VLOOKUP(SUM(HC74:HD74),Nlesafgr,3)</f>
        <v>28.8</v>
      </c>
      <c r="HF74" s="7">
        <f>VLOOKUP($O74,Afgr,Data!$DN$3)</f>
        <v>3</v>
      </c>
      <c r="HG74" s="24">
        <f>IF(HF74&gt;1,0,VLOOKUP($R74,Afgr,Data!$DO$3)+IF(VLOOKUP($R74,Afgr,Data!$DO$3)=1,0,VLOOKUP($P74,Efgr,Data!$BJ$53)))</f>
        <v>0</v>
      </c>
      <c r="HH74" s="6">
        <f>VLOOKUP(SUM(HF74:HG74),Nlesforfrugt,3)</f>
        <v>14.2</v>
      </c>
      <c r="HI74" s="241">
        <f>GR74*GQ74+GV74*(GT74+GU74)+GX74*GW74+GZ74*GY74-HB74*HA74+HE74+HH74</f>
        <v>117.37587813918012</v>
      </c>
      <c r="HJ74" s="241">
        <f>Nlesafskaering</f>
        <v>59.6</v>
      </c>
      <c r="HK74" s="241">
        <f>Teknologi1</f>
        <v>2455</v>
      </c>
      <c r="HL74" s="6">
        <v>2001</v>
      </c>
      <c r="HM74" s="241">
        <f>Teknologi2</f>
        <v>1962.2</v>
      </c>
      <c r="HN74" s="241">
        <f>Tandel</f>
        <v>0.54659999999999997</v>
      </c>
      <c r="HO74" s="241">
        <f>IF(OR(HI74&gt;0,HI74=0),HJ74+HK74/(HL74-HM74),HJ74+HK74/(HL74-HM74)+HN74*HI74)</f>
        <v>122.87319587628873</v>
      </c>
      <c r="HP74" s="241">
        <f>IF(HI74&gt;0,HI74,0.001)</f>
        <v>117.37587813918012</v>
      </c>
      <c r="HQ74" s="241">
        <v>1.5020000000000001E-3</v>
      </c>
      <c r="HR74" s="24">
        <f>IF(R74=1,0,VLOOKUP(PostnrNbal,AfstromData,VLOOKUP($R74,Afgr,Data!$DL$3)+IF(Jordtype1&lt;7,Jordtype1,6),FALSE)-VLOOKUP(T74,Efgr,Data!$AA$53))</f>
        <v>311.98999999999899</v>
      </c>
      <c r="HS74" s="24">
        <f>IF(Nbal!GA74&lt;&gt;"",Nbal!GA74,Regn2!HR74)</f>
        <v>311.98999999999899</v>
      </c>
      <c r="HT74" s="241">
        <v>5.5400000000000002E-4</v>
      </c>
      <c r="HU74" s="24">
        <f>IF(R74=1,0,VLOOKUP(PostnrNbal,AfstromData,VLOOKUP($O74,Afgr,Data!$DL$3)+IF(B74&lt;7,B74,6),FALSE)-VLOOKUP(P74,Efgr,Data!$AA$53))</f>
        <v>311.98999999999899</v>
      </c>
      <c r="HV74" s="24">
        <f>IF(Nbal!FU74&lt;&gt;"",Nbal!FU74,Regn2!HU74)</f>
        <v>311.98999999999899</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82.407924368732679</v>
      </c>
      <c r="ID74">
        <f>IC74*Z74</f>
        <v>349.40959932342656</v>
      </c>
      <c r="IE74">
        <f>IF(Nbal!GF74&lt;&gt;"",Nbal!GF74,RetentionNbal)</f>
        <v>65</v>
      </c>
      <c r="IF74">
        <f>IC74*(100-IE74)*0.01</f>
        <v>28.842773529056441</v>
      </c>
      <c r="IG74">
        <f>IF74*Z74</f>
        <v>122.29335976319932</v>
      </c>
      <c r="IH74" s="2">
        <f>HS74*10000</f>
        <v>3119899.9999999898</v>
      </c>
      <c r="II74" s="2">
        <f>IH74*Z74</f>
        <v>13228375.999999957</v>
      </c>
      <c r="IJ74">
        <f>IF(ISERROR(IC74*1000*1000/IH74),0,IC74*1000*1000/IH74)</f>
        <v>26.413642863147199</v>
      </c>
      <c r="IL74">
        <f>AT74+AX74+BK74+BU74</f>
        <v>12360</v>
      </c>
      <c r="IO74">
        <f>VLOOKUP(R74,Afgr,Data!$AP$3)*UdsaedJust</f>
        <v>1400</v>
      </c>
      <c r="IP74" s="3">
        <f>IF(Nbal!GN74&lt;&gt;"",Nbal!GN74,IO74)</f>
        <v>1400</v>
      </c>
      <c r="IQ74" s="3">
        <f>IP74*Z74</f>
        <v>5936</v>
      </c>
      <c r="IS74" s="3">
        <f>IF(HdgVaerdiNbal=1,(BZ74+CA74)*Npris,(BZ74+CA74+CJ74+CK74)*Npris)</f>
        <v>169</v>
      </c>
      <c r="IT74" s="3">
        <f>IS74*Z74</f>
        <v>716.56000000000006</v>
      </c>
      <c r="IV74">
        <f>VLOOKUP($R74,Afgr,Data!$BA$3)</f>
        <v>7.5</v>
      </c>
      <c r="IW74">
        <f>VLOOKUP($R74,Afgr,Data!$BB$3)</f>
        <v>0</v>
      </c>
      <c r="IX74">
        <f>$DS74+$EE74</f>
        <v>30.529199999999999</v>
      </c>
      <c r="IY74">
        <f>CT74</f>
        <v>26</v>
      </c>
      <c r="IZ74">
        <f>CQ74</f>
        <v>10</v>
      </c>
      <c r="JA74" s="3">
        <f>IF(HdgVaerdiNbal=1,(IZ74)*Ppris,(IY74+IZ74)*Ppris)</f>
        <v>139</v>
      </c>
      <c r="JB74" s="3">
        <f>JA74*Z74</f>
        <v>589.36</v>
      </c>
      <c r="JD74">
        <f>IF(AND(R74&gt;1,OR(Jordtype1=1,Jordtype1=3,Markvand1=2)),Kudvask,0)</f>
        <v>0</v>
      </c>
      <c r="JE74">
        <f>$DV74+$EH74</f>
        <v>140.90399999999997</v>
      </c>
      <c r="JF74">
        <f>DB74</f>
        <v>71</v>
      </c>
      <c r="JG74">
        <f>CY74</f>
        <v>0</v>
      </c>
      <c r="JH74" s="3">
        <f>IF(HdgVaerdiNbal=1,JG74*Kpris,(JF74+JG74)*Kpris)</f>
        <v>0</v>
      </c>
      <c r="JI74" s="3">
        <f>JH74*Z74</f>
        <v>0</v>
      </c>
      <c r="JK74">
        <f>IS74+JA74+JH74</f>
        <v>308</v>
      </c>
      <c r="JL74" s="3">
        <f>IF(Nbal!GT74&lt;&gt;"",Nbal!GT74,$JK74)</f>
        <v>308</v>
      </c>
      <c r="JM74" s="3">
        <f>JL74*Z74</f>
        <v>1305.92</v>
      </c>
      <c r="JO74">
        <f>VLOOKUP(R74,Afgr,Data!$AQ$3)*PlantevJust</f>
        <v>660</v>
      </c>
      <c r="JP74" s="3">
        <f>IF(Nbal!GZ74&lt;&gt;"",Nbal!GZ74,JO74)</f>
        <v>660</v>
      </c>
      <c r="JQ74" s="3">
        <f>JP74*Z74</f>
        <v>2798.4</v>
      </c>
      <c r="JS74">
        <f>VLOOKUP(R74,Afgr,Data!$AR$3)+AM74*VLOOKUP(R74,Afgr,Data!$BH$3)</f>
        <v>401.7</v>
      </c>
      <c r="JT74" s="3">
        <f>IF(Nbal!HF74&lt;&gt;"",Nbal!HF74,JS74)</f>
        <v>401.7</v>
      </c>
      <c r="JU74">
        <f>JT74*Z74</f>
        <v>1703.2080000000001</v>
      </c>
      <c r="JW74">
        <f>IP74+JL74+JP74+JT74</f>
        <v>2769.7</v>
      </c>
      <c r="JY74">
        <f>IF(VLOOKUP(R74,Afgr,Data!$BY$3)&gt;0,Data!$K$259*J74,0)</f>
        <v>600</v>
      </c>
      <c r="JZ74">
        <f>IF(VLOOKUP(R74,Afgr,Data!$BZ$3)&gt;0,Data!$K$260*J74,0)</f>
        <v>0</v>
      </c>
      <c r="KA74">
        <f>(JY74+JZ74)*MaskJust</f>
        <v>600</v>
      </c>
      <c r="KB74" s="3">
        <f>IF(Nbal!HL74&lt;&gt;"",Nbal!HL74,KA74)</f>
        <v>600</v>
      </c>
      <c r="KC74" s="3">
        <f>KB74*Z74</f>
        <v>2544</v>
      </c>
      <c r="KE74">
        <f>IF(VLOOKUP(R74,Afgr,Data!$CA$3)&gt;0,VLOOKUP(R74,Afgr,Data!$CA$3)*Data!$K$261*K74,0)</f>
        <v>150</v>
      </c>
      <c r="KF74">
        <f>IF(VLOOKUP(R74,Afgr,Data!$CC$3)&gt;0,Data!$K$262*K74,0)</f>
        <v>0</v>
      </c>
      <c r="KG74">
        <f>IF(VLOOKUP(R74,Afgr,Data!$CD$3)&gt;0,VLOOKUP(R74,Afgr,Data!$CD$3)*Data!$K$263*K74,0)</f>
        <v>0</v>
      </c>
      <c r="KH74">
        <f>IF(VLOOKUP(R74,Afgr,Data!$CE$3)&gt;0,Data!$K$264*K74,0)</f>
        <v>0</v>
      </c>
      <c r="KI74">
        <f>IF(VLOOKUP(R74,Afgr,Data!$CF$3)&gt;0,Data!$K$265*K74,0)</f>
        <v>500</v>
      </c>
      <c r="KJ74">
        <f>IF(VLOOKUP(R74,Afgr,Data!$CV$3)&gt;0,Data!$K$266,0)</f>
        <v>0</v>
      </c>
      <c r="KK74">
        <f>IF(VLOOKUP(R74,Afgr,Data!$CG$3)&gt;0,Data!$K$267*K74,0)</f>
        <v>150</v>
      </c>
      <c r="KL74">
        <f>(KE74+KF74+KG74+KH74+KI74+KJ74+KK74)*MaskJust</f>
        <v>800</v>
      </c>
      <c r="KM74" s="3">
        <f>IF(Nbal!HR74&lt;&gt;"",Nbal!HR74,KL74)</f>
        <v>800</v>
      </c>
      <c r="KN74" s="3">
        <f>KM74*Z74</f>
        <v>3392</v>
      </c>
      <c r="KP74">
        <f>IF(VLOOKUP(R74,Afgr,Data!$CJ$3)&gt;0,VLOOKUP(R74,Afgr,Data!$CJ$3)*Data!$K$268*K74,0)*MaskJust</f>
        <v>140</v>
      </c>
      <c r="KQ74" s="3">
        <f>IF(Nbal!HX74&lt;&gt;"",Nbal!HX74,KP74)</f>
        <v>140</v>
      </c>
      <c r="KR74" s="3">
        <f>KQ74*Z74</f>
        <v>593.6</v>
      </c>
      <c r="KT74">
        <f>IF(VLOOKUP(R74,Afgr,Data!$CI$3)&gt;0,VLOOKUP(R74,Afgr,Data!$CI$3)*Data!$K$269,0)*MaskJust</f>
        <v>300</v>
      </c>
      <c r="KU74" s="3">
        <f>IF(Nbal!ID74&lt;&gt;"",Nbal!ID74,KT74)</f>
        <v>300</v>
      </c>
      <c r="KV74" s="3">
        <f>KU74*Z74</f>
        <v>1272</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1715.5555555555554</v>
      </c>
      <c r="LE74">
        <f>IF(VLOOKUP($R74,Afgr,Data!$CK$3)&gt;0,IF(AND($S74=2,$BA74&gt;0),Data!$K$271,0),0)</f>
        <v>0</v>
      </c>
      <c r="LF74">
        <f>IF(VLOOKUP($R74,Afgr,Data!$CK$3)&gt;0,(AM74/VLOOKUP($R74,Afgr,Data!$CK$3))*VLOOKUP($R74,Afgr,Data!$CO$3)*VLOOKUP($R74,Afgr,Data!$CN$3),0)</f>
        <v>0</v>
      </c>
      <c r="LG74">
        <f>(LD74+LE74+LF74)*MaskJust</f>
        <v>1715.5555555555554</v>
      </c>
      <c r="LH74" s="3">
        <f>IF(Nbal!IV74&lt;&gt;"",Nbal!IV74,LG74)</f>
        <v>1715.5555555555554</v>
      </c>
      <c r="LI74" s="3">
        <f>LH74*Z74</f>
        <v>7273.9555555555553</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12360</v>
      </c>
      <c r="OE74">
        <f>JW74+MZ74</f>
        <v>2769.7</v>
      </c>
      <c r="OF74">
        <f>OD74-OE74</f>
        <v>9590.2999999999993</v>
      </c>
      <c r="OG74">
        <f>OF74*Z74</f>
        <v>40662.871999999996</v>
      </c>
      <c r="OJ74">
        <f>VLOOKUP($O74,Afgr,Data!$BP$3)+VLOOKUP($P74,Efgr,Data!$AM$53)</f>
        <v>1</v>
      </c>
      <c r="OK74" s="3">
        <f>OJ74*Z74</f>
        <v>4.24</v>
      </c>
      <c r="OL74">
        <f>VLOOKUP($R74,Afgr,Data!$BP$3)+VLOOKUP($T74,Efgr,Data!$AM$53)</f>
        <v>1</v>
      </c>
      <c r="OM74" s="3">
        <f>OL74*Z74</f>
        <v>4.24</v>
      </c>
      <c r="OO74">
        <f>VLOOKUP($P74,Efgr,Data!$AN$53)</f>
        <v>0</v>
      </c>
      <c r="OP74">
        <f>VLOOKUP($O74,Afgr,Data!$BQ$3)</f>
        <v>1</v>
      </c>
      <c r="OQ74">
        <f>VLOOKUP($R74,Afgr,Data!$BR$3)</f>
        <v>1</v>
      </c>
      <c r="OR74">
        <f>OO74*OP74*OQ74</f>
        <v>0</v>
      </c>
      <c r="OS74" s="3">
        <f>OR74*Z74</f>
        <v>0</v>
      </c>
      <c r="OT74" s="3">
        <f>IF(Q74,1,0)*OS74</f>
        <v>0</v>
      </c>
      <c r="OV74">
        <f>VLOOKUP($T74,Efgr,Data!$AN$53)</f>
        <v>0</v>
      </c>
      <c r="OW74">
        <f>VLOOKUP($R74,Afgr,Data!$BQ$3)</f>
        <v>1</v>
      </c>
      <c r="OX74">
        <f>VLOOKUP($X74,Afgr,Data!$BR$3)</f>
        <v>1</v>
      </c>
      <c r="OY74">
        <f>OV74*OW74*OX74</f>
        <v>0</v>
      </c>
      <c r="OZ74" s="3">
        <f>OY74*Z74</f>
        <v>0</v>
      </c>
      <c r="PB74">
        <f>VLOOKUP($T74,Efgr,Data!$AO$53)</f>
        <v>0</v>
      </c>
      <c r="PC74">
        <f>VLOOKUP($O74,Afgr,Data!$BQ$3)</f>
        <v>1</v>
      </c>
      <c r="PD74">
        <f>VLOOKUP($R74,Afgr,Data!$BS$3)</f>
        <v>0</v>
      </c>
      <c r="PE74" s="3">
        <f>PB74*PC74*PD74*$Z74</f>
        <v>0</v>
      </c>
      <c r="PG74">
        <f>VLOOKUP($T74,Efgr,Data!$AO$53)</f>
        <v>0</v>
      </c>
      <c r="PH74">
        <f>VLOOKUP($R74,Afgr,Data!$BQ$3)</f>
        <v>1</v>
      </c>
      <c r="PI74">
        <f>VLOOKUP($X74,Afgr,Data!$BS$3)</f>
        <v>0</v>
      </c>
      <c r="PJ74" s="3">
        <f>PG74*PH74*PI74*$Z74</f>
        <v>0</v>
      </c>
      <c r="PK74" s="3"/>
      <c r="PL74" s="3">
        <f>VLOOKUP($O74,Afgr,Data!$BU$3)</f>
        <v>0</v>
      </c>
      <c r="PM74" s="3">
        <f>PL74*Z74</f>
        <v>0</v>
      </c>
      <c r="PN74" s="3">
        <f>VLOOKUP($R74,Afgr,Data!$BU$3)</f>
        <v>0</v>
      </c>
      <c r="PO74" s="3">
        <f>PN74*Z74</f>
        <v>0</v>
      </c>
      <c r="PQ74">
        <f>VLOOKUP(R74,Afgr,Data!$BX$3)+VLOOKUP(T74,Efgr,Data!$AQ$53)</f>
        <v>1</v>
      </c>
      <c r="PR74">
        <f>IF(PQ74&gt;0,Z74,0)</f>
        <v>4.24</v>
      </c>
      <c r="PT74">
        <f>VLOOKUP($O74,Afgr,Data!$BT$3)</f>
        <v>1</v>
      </c>
      <c r="PU74" s="3">
        <f>PT74*Z74</f>
        <v>4.24</v>
      </c>
      <c r="PV74">
        <f>VLOOKUP($R74,Afgr,Data!$BT$3)</f>
        <v>1</v>
      </c>
      <c r="PW74" s="3">
        <f>PV74*Z74</f>
        <v>4.24</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10300</v>
      </c>
      <c r="QM74">
        <f>QL74*Z74</f>
        <v>43672</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0.8</v>
      </c>
      <c r="RJ74">
        <f>((CJ74+CK74+CL74+Regn2!CO74*0.7)-(RR74+RT74))*VLOOKUP(B74,Jordtype,Data!$AE$112+DenitNr-1)</f>
        <v>11.7954375</v>
      </c>
      <c r="RK74">
        <f>0*VLOOKUP(B74,Jordtype,Data!$AE$112+DenitNr-1)</f>
        <v>0</v>
      </c>
      <c r="RL74">
        <f>Regn2!FD74*VLOOKUP(B74,Jordtype,Data!$AH$112+DenitNr-1)</f>
        <v>0</v>
      </c>
      <c r="RM74" s="3">
        <f>RH74+RI74+RJ74+RK74+RL74</f>
        <v>19.845437500000003</v>
      </c>
      <c r="RO74">
        <v>2</v>
      </c>
      <c r="RP74">
        <f>(FF74)*RO74*0.01</f>
        <v>0.4</v>
      </c>
      <c r="RQ74">
        <v>7</v>
      </c>
      <c r="RR74">
        <f>CE74*RQ74*0.01</f>
        <v>0</v>
      </c>
      <c r="RS74">
        <v>7</v>
      </c>
      <c r="RT74">
        <f>(Regn2!CF74+Regn2!CG74)*RS74*0.01</f>
        <v>9.0299999999999994</v>
      </c>
      <c r="RW74">
        <f>VLOOKUP(R74,Afgr,Data!$EE$3)</f>
        <v>5</v>
      </c>
      <c r="RX74" s="3">
        <f>RP74+RR74+RT74+RV74+RW74</f>
        <v>14.43</v>
      </c>
    </row>
    <row r="76" spans="1:492" x14ac:dyDescent="0.25">
      <c r="A76" s="214" t="str">
        <f>Nbal!B76</f>
        <v>3-1</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40</v>
      </c>
      <c r="P76">
        <v>1</v>
      </c>
      <c r="Q76" t="b">
        <v>0</v>
      </c>
      <c r="R76">
        <v>40</v>
      </c>
      <c r="S76">
        <v>1</v>
      </c>
      <c r="T76">
        <v>1</v>
      </c>
      <c r="U76">
        <v>1</v>
      </c>
      <c r="V76">
        <v>1</v>
      </c>
      <c r="X76">
        <v>40</v>
      </c>
      <c r="Z76">
        <f>Nbal!AG76</f>
        <v>4.42</v>
      </c>
      <c r="AA76">
        <v>1</v>
      </c>
      <c r="AB76">
        <f>VLOOKUP($R76,Afgr,G76)</f>
        <v>110</v>
      </c>
      <c r="AC76">
        <f>VLOOKUP($O76,Afgr,Data!$AI$3)*VLOOKUP(R76,Afgr,Data!$AJ$3)</f>
        <v>0</v>
      </c>
      <c r="AD76">
        <f>IF($Q76,0,VLOOKUP($P76,Efgr,(Data!$W$53+$V$6-1)))</f>
        <v>0</v>
      </c>
      <c r="AE76">
        <f>AB76-AC76-AD76</f>
        <v>110</v>
      </c>
      <c r="AF76">
        <f>AE76*Z76</f>
        <v>486.2</v>
      </c>
      <c r="AH76">
        <f>VLOOKUP(R76,Afgr,D76)</f>
        <v>56</v>
      </c>
      <c r="AI76">
        <f>VLOOKUP(O76,Afgr,Data!$AL$3)*VLOOKUP(R76,Afgr,E76)</f>
        <v>0</v>
      </c>
      <c r="AJ76">
        <f>VLOOKUP(P76,Efgr,(Data!$Y$53+I76))</f>
        <v>0</v>
      </c>
      <c r="AK76">
        <f>AH76+AI76+AJ76</f>
        <v>56</v>
      </c>
      <c r="AL76">
        <f>AH76+AI76+AJ76</f>
        <v>56</v>
      </c>
      <c r="AM76" s="3">
        <f>IF(Nbal!CK76&lt;&gt;"",Nbal!CK76,AL76)</f>
        <v>56</v>
      </c>
      <c r="AN76">
        <f>AM76*Z76</f>
        <v>247.51999999999998</v>
      </c>
      <c r="AO76" t="str">
        <f>VLOOKUP(R76,Afgr,3)</f>
        <v>hkg</v>
      </c>
      <c r="AP76">
        <f>IF(AO76="FE",VLOOKUP($R76,Afgr,Data!$AV$3),0)</f>
        <v>0</v>
      </c>
      <c r="AR76">
        <f>VLOOKUP(R76,Afgr,4)</f>
        <v>145</v>
      </c>
      <c r="AS76" s="3">
        <f>IF(Nbal!CW76&lt;&gt;"",Nbal!CW76,AR76)</f>
        <v>145</v>
      </c>
      <c r="AT76" s="3">
        <f>AM76*AS76</f>
        <v>8120</v>
      </c>
      <c r="AU76" s="3">
        <f>AN76*AS76</f>
        <v>35890.399999999994</v>
      </c>
      <c r="AW76">
        <f>VLOOKUP(R76,Afgr,Data!$AN$3)</f>
        <v>0</v>
      </c>
      <c r="AX76" s="3">
        <f>IF(Nbal!DC76&lt;&gt;"",Nbal!DC76,AW76)</f>
        <v>0</v>
      </c>
      <c r="AY76" s="3">
        <f>AX76*Z76</f>
        <v>0</v>
      </c>
      <c r="BA76">
        <f>VLOOKUP(R76,Afgr,H76)</f>
        <v>3000</v>
      </c>
      <c r="BB76">
        <f>IF(ISERROR(BA76*AM76/AK76),0,(BA76*AM76/AK76))</f>
        <v>3000</v>
      </c>
      <c r="BC76" s="3">
        <f>IF(Nbal!DI76&lt;&gt;"",Nbal!DI76,BB76)</f>
        <v>3000</v>
      </c>
      <c r="BD76">
        <f>BC76*Z76</f>
        <v>13260</v>
      </c>
      <c r="BG76">
        <f>IF($S76=1,BC76,0)</f>
        <v>3000</v>
      </c>
      <c r="BH76">
        <f>IF($S76=1,BD76,0)</f>
        <v>13260</v>
      </c>
      <c r="BI76">
        <f>VLOOKUP(R76,Afgr,Data!$AM$3)</f>
        <v>0.5</v>
      </c>
      <c r="BJ76">
        <f>IF(Nbal!DR76&lt;&gt;"",Nbal!DR76,BI76)</f>
        <v>0.5</v>
      </c>
      <c r="BK76">
        <f>BG76*BJ76</f>
        <v>1500</v>
      </c>
      <c r="BL76">
        <f>BH76*BJ76</f>
        <v>6630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27</v>
      </c>
      <c r="CB76" s="2">
        <f>Nbal!DZ76</f>
        <v>0</v>
      </c>
      <c r="CC76" s="211">
        <f>Nbal!AT76+Nbal!DZ76</f>
        <v>27</v>
      </c>
      <c r="CD76" s="211">
        <f>Nbal!AX76</f>
        <v>0</v>
      </c>
      <c r="CE76">
        <f>Nbal!BH76</f>
        <v>0</v>
      </c>
      <c r="CF76" s="211">
        <f>Nbal!BM76</f>
        <v>87</v>
      </c>
      <c r="CG76" s="2">
        <f>Nbal!EI76</f>
        <v>0</v>
      </c>
      <c r="CH76" s="211">
        <f>Nbal!BM76+Nbal!EI76</f>
        <v>87</v>
      </c>
      <c r="CI76" s="211">
        <f>Nbal!BW76</f>
        <v>0</v>
      </c>
      <c r="CJ76" s="211">
        <f>Nbal!BH76*Nbal!BJ76*0.01</f>
        <v>0</v>
      </c>
      <c r="CK76" s="211">
        <f>(Nbal!BM76*Nbal!BP76*0.01)</f>
        <v>63.945</v>
      </c>
      <c r="CL76" s="211">
        <f>(Nbal!EI76*Nbal!EL76*0.01)</f>
        <v>0</v>
      </c>
      <c r="CM76" s="211">
        <f>(Nbal!BM76*Nbal!BP76*0.01)+(Nbal!EI76*Nbal!EL76*0.01)</f>
        <v>63.945</v>
      </c>
      <c r="CN76" s="211">
        <f>Nbal!BW76*Nbal!BY76*0.01</f>
        <v>0</v>
      </c>
      <c r="CO76">
        <f>Nbal!BT76+Nbal!ER76</f>
        <v>0</v>
      </c>
      <c r="CQ76">
        <f>Nbal!BA76</f>
        <v>0</v>
      </c>
      <c r="CR76">
        <f>Nbal!EC76</f>
        <v>0</v>
      </c>
      <c r="CS76">
        <f>(CQ76+CR76)*Z76</f>
        <v>0</v>
      </c>
      <c r="CT76">
        <f>Nbal!CB76</f>
        <v>17</v>
      </c>
      <c r="CU76">
        <f>Nbal!EV76</f>
        <v>0</v>
      </c>
      <c r="CV76">
        <f>(CT76+CU76)*Z76</f>
        <v>75.14</v>
      </c>
      <c r="CW76">
        <f>Nbal!BA76+Nbal!CB76+Nbal!EC76+Nbal!EV76</f>
        <v>17</v>
      </c>
      <c r="CY76">
        <f>Nbal!BD76</f>
        <v>0</v>
      </c>
      <c r="CZ76">
        <f>Nbal!EF76</f>
        <v>0</v>
      </c>
      <c r="DA76">
        <f>(CY76+CZ76)*Z76</f>
        <v>0</v>
      </c>
      <c r="DB76">
        <f>Nbal!CE76</f>
        <v>47</v>
      </c>
      <c r="DC76">
        <f>Nbal!EY76</f>
        <v>0</v>
      </c>
      <c r="DD76">
        <f>(DB76+DC76)*Z76</f>
        <v>207.74</v>
      </c>
      <c r="DE76">
        <f>Nbal!BD76+Nbal!CE76+Nbal!EF76+Nbal!EY76</f>
        <v>47</v>
      </c>
      <c r="DG76">
        <f>VLOOKUP($R76,Afgr,Data!$AW$3)</f>
        <v>11.1875</v>
      </c>
      <c r="DH76">
        <f>IF($AO76="FE",$AM76*$AP76*$DG76*0.01,$AM76*100*$DM76*0.01*$DG76*0.01)</f>
        <v>532.52499999999998</v>
      </c>
      <c r="DI76">
        <f>IF(VLOOKUP(R76,Afgr,Data!$BO$3)=1,DH76,0)*Z76</f>
        <v>2353.7604999999999</v>
      </c>
      <c r="DJ76" s="12">
        <f>(BZ76+CC76+CJ76-AE76)*VLOOKUP($R76,Afgr,Data!$AX$3)</f>
        <v>-1.6600000000000001</v>
      </c>
      <c r="DK76">
        <f>DG76+DJ76</f>
        <v>9.5274999999999999</v>
      </c>
      <c r="DL76">
        <f>IF(Nbal!CQ76&lt;&gt;"",Nbal!CQ76,DK76)</f>
        <v>9.5274999999999999</v>
      </c>
      <c r="DM76">
        <f>VLOOKUP(R76,Afgr,Data!$AT$3)</f>
        <v>85</v>
      </c>
      <c r="DN76">
        <f>IF($AO76="FE",$AM76*$AP76*$DL76*0.01,$AM76*100*$DM76*0.01*DL76*0.01)</f>
        <v>453.50900000000001</v>
      </c>
      <c r="DO76">
        <f>IF(VLOOKUP(R76,Afgr,Data!$BO$3)=1,DN76,0)*Z76</f>
        <v>2004.5097800000001</v>
      </c>
      <c r="DP76">
        <f>IF(ISERROR(DN76/VLOOKUP(R76,Afgr,Data!$AY$3)),0,DN76/VLOOKUP(R76,Afgr,Data!$AY$3))</f>
        <v>72.561440000000005</v>
      </c>
      <c r="DQ76">
        <f>DP76*Z76</f>
        <v>320.72156480000001</v>
      </c>
      <c r="DS76">
        <f>IF($AO76="FE",$AM76*$AP76*VLOOKUP($R76,Afgr,Data!$BC$3)*0.001,$AM76*100*$DM76*0.01*VLOOKUP($R76,Afgr,Data!$BC$3)*0.001)</f>
        <v>18.088000000000001</v>
      </c>
      <c r="DT76">
        <f>DS76*Z76</f>
        <v>79.94896</v>
      </c>
      <c r="DV76">
        <f>IF($AO76="FE",$AM76*$AP76*VLOOKUP($R76,Afgr,Data!$BF$3)*0.001,$AM76*100*$DM76*0.01*VLOOKUP($R76,Afgr,Data!$BF$3)*0.001)</f>
        <v>22.372</v>
      </c>
      <c r="DW76">
        <f>DV76*Z76</f>
        <v>98.884239999999991</v>
      </c>
      <c r="DY76">
        <f>IF(ISERROR(VLOOKUP(R76,Afgr,Data!$AZ$3)*DL76/DG76),0,VLOOKUP(R76,Afgr,Data!$AZ$3)*DL76/DG76)</f>
        <v>3.4064804469273744</v>
      </c>
      <c r="DZ76">
        <f>VLOOKUP(R76,Afgr,Data!$AU$3)</f>
        <v>85</v>
      </c>
      <c r="EA76">
        <f>IF($S76=1,$BC76*$DZ76*0.01*DY76*0.01,0)</f>
        <v>86.865251396648063</v>
      </c>
      <c r="EB76">
        <f>EA76/6.25</f>
        <v>13.898440223463689</v>
      </c>
      <c r="EC76">
        <f>EB76*Z76</f>
        <v>61.431105787709505</v>
      </c>
      <c r="EE76">
        <f>IF($S76=1,$BC76*$DZ76*0.01*VLOOKUP($R76,Afgr,Data!$BD$3)*0.001,0)</f>
        <v>2.2949999999999999</v>
      </c>
      <c r="EF76">
        <f>EE76*Z76</f>
        <v>10.1439</v>
      </c>
      <c r="EH76">
        <f>IF($S76=1,$BC76*$DZ76*0.01*VLOOKUP($R76,Afgr,Data!$BG$3)*0.001,0)</f>
        <v>30.6</v>
      </c>
      <c r="EI76">
        <f>EH76*Z76</f>
        <v>135.25200000000001</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90.944999999999993</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27</v>
      </c>
      <c r="FG76" s="211">
        <f>FF76*Z76</f>
        <v>119.34</v>
      </c>
      <c r="FH76" s="211">
        <f>CE76+CH76+CO76</f>
        <v>87</v>
      </c>
      <c r="FI76" s="211">
        <f>FH76*Z76</f>
        <v>384.54</v>
      </c>
      <c r="FJ76">
        <f>VLOOKUP($R76,Afgr,Data!$DK$3)*VLOOKUP($R76,Afgr,Data!$AT$3)*0.01*VLOOKUP($R76,Afgr,Data!$AW$3)*0.01/6.25</f>
        <v>2.4344000000000001</v>
      </c>
      <c r="FK76">
        <f>FJ76*Z76</f>
        <v>10.760048000000001</v>
      </c>
      <c r="FL76" s="4">
        <f>IF(R76&gt;1,Deposition,0)</f>
        <v>15</v>
      </c>
      <c r="FM76" s="4">
        <f>FL76*Z76</f>
        <v>66.3</v>
      </c>
      <c r="FN76">
        <f>FC76</f>
        <v>0</v>
      </c>
      <c r="FO76">
        <f>FN76*Z76</f>
        <v>0</v>
      </c>
      <c r="FP76" s="211">
        <f>SUM(FF76,FH76,FJ76,FL76,FN76)</f>
        <v>131.43439999999998</v>
      </c>
      <c r="FQ76">
        <f>DP76+EB76+EL76</f>
        <v>86.459880223463699</v>
      </c>
      <c r="FR76" s="3">
        <f>FP76-FQ76</f>
        <v>44.974519776536283</v>
      </c>
      <c r="FS76" s="19">
        <f>FP76*Z76</f>
        <v>580.94004799999993</v>
      </c>
      <c r="FT76" s="19">
        <f>FQ76*Z76</f>
        <v>382.15267058770957</v>
      </c>
      <c r="FU76" s="3">
        <f>FR76*Z76</f>
        <v>198.78737741229037</v>
      </c>
      <c r="FW76">
        <f>CW76</f>
        <v>17</v>
      </c>
      <c r="FX76">
        <f>FW76*Z76</f>
        <v>75.14</v>
      </c>
      <c r="FY76">
        <f>IX76+MB76</f>
        <v>20.383000000000003</v>
      </c>
      <c r="FZ76">
        <f>FY76*Z76</f>
        <v>90.092860000000016</v>
      </c>
      <c r="GA76">
        <f>FW76-FY76</f>
        <v>-3.3830000000000027</v>
      </c>
      <c r="GB76">
        <f>GA76*Z76</f>
        <v>-14.952860000000012</v>
      </c>
      <c r="GD76">
        <f>DE76</f>
        <v>47</v>
      </c>
      <c r="GE76">
        <f>GD76*Z76</f>
        <v>207.74</v>
      </c>
      <c r="GF76">
        <f>JE76+MH76</f>
        <v>52.972000000000001</v>
      </c>
      <c r="GG76">
        <f>GF76*Z76</f>
        <v>234.13624000000002</v>
      </c>
      <c r="GH76">
        <f>GD76-GF76</f>
        <v>-5.9720000000000013</v>
      </c>
      <c r="GI76">
        <f>GH76*Z76</f>
        <v>-26.396240000000006</v>
      </c>
      <c r="GK76">
        <f>AA76</f>
        <v>1</v>
      </c>
      <c r="GL76" s="211">
        <f>FF76+FH76+FN76</f>
        <v>114</v>
      </c>
      <c r="GM76" s="211">
        <f>IF(R76=1,"",IF(GK76=1,GL76,""))</f>
        <v>114</v>
      </c>
      <c r="GN76" s="211" t="str">
        <f>IF(R76=1,"",IF(GK76=2,GL76,""))</f>
        <v/>
      </c>
      <c r="GO76" s="211" t="str">
        <f>IF(R76=1,"",IF(GK76=3,GL76,""))</f>
        <v/>
      </c>
      <c r="GP76" s="211" t="str">
        <f>IF(R76=1,"",IF(GK76=4,GL76,""))</f>
        <v/>
      </c>
      <c r="GQ76" s="149">
        <f>IF(OR(R76=1,VLOOKUP(R76,Afgr,Data!$BV$3)=1,VLOOKUP(R76,Afgr,Data!$BW$3)=1),0,IF(GK76=1,Nniveau1,IF(GK76=2,Nniveau2,IF(GK76=3,Nniveau3,IF(GK76=4,Nniveau4,GL76)))))</f>
        <v>197.65542292344122</v>
      </c>
      <c r="GR76" s="241">
        <v>0.32550000000000001</v>
      </c>
      <c r="GS76" s="6">
        <v>0</v>
      </c>
      <c r="GT76" s="149">
        <f>CC76+CM76</f>
        <v>90.944999999999993</v>
      </c>
      <c r="GU76" s="6">
        <f>$FN76</f>
        <v>0</v>
      </c>
      <c r="GV76" s="241">
        <v>0.25280000000000002</v>
      </c>
      <c r="GW76">
        <f>CO76</f>
        <v>0</v>
      </c>
      <c r="GX76" s="241">
        <v>0.376</v>
      </c>
      <c r="GY76" s="149">
        <f>CD76+CN76</f>
        <v>0</v>
      </c>
      <c r="GZ76" s="241">
        <f>IF(B76&gt;3,0.3539,1.0749)</f>
        <v>0.35389999999999999</v>
      </c>
      <c r="HA76" s="11">
        <f>$FQ76</f>
        <v>86.459880223463699</v>
      </c>
      <c r="HB76" s="241">
        <v>0.19359999999999999</v>
      </c>
      <c r="HC76" s="241">
        <f>VLOOKUP($R76,Afgr,Data!$DM$3)</f>
        <v>1</v>
      </c>
      <c r="HD76" s="24">
        <f>IF($HC76&gt;1,0,(VLOOKUP($X76,Afgr,Data!$DP$3)+IF(VLOOKUP($X76,Afgr,Data!$DP$3)=0,VLOOKUP($T76,Efgr,Data!$BI$53,0))))+IF(AND($HC76=7,VLOOKUP($X76,Afgr,Data!$DQ$3)=-2),-2,0)+IF(AND($HC76=6,VLOOKUP($T76,Efgr,Data!$BI$53)=2),8,0)</f>
        <v>0</v>
      </c>
      <c r="HE76" s="6">
        <f>VLOOKUP(SUM(HC76:HD76),Nlesafgr,3)</f>
        <v>0</v>
      </c>
      <c r="HF76" s="7">
        <f>VLOOKUP($O76,Afgr,Data!$DN$3)</f>
        <v>1</v>
      </c>
      <c r="HG76" s="24">
        <f>IF(HF76&gt;1,0,VLOOKUP($R76,Afgr,Data!$DO$3)+IF(VLOOKUP($R76,Afgr,Data!$DO$3)=1,0,VLOOKUP($P76,Efgr,Data!$BJ$53)))</f>
        <v>0</v>
      </c>
      <c r="HH76" s="6">
        <f>VLOOKUP(SUM(HF76:HG76),Nlesforfrugt,3)</f>
        <v>0</v>
      </c>
      <c r="HI76" s="241">
        <f>GR76*GQ76+GV76*(GT76+GU76)+GX76*GW76+GZ76*GY76-HB76*HA76+HE76+HH76</f>
        <v>70.589103350317529</v>
      </c>
      <c r="HJ76" s="241">
        <f>Nlesafskaering</f>
        <v>59.6</v>
      </c>
      <c r="HK76" s="241">
        <f>Teknologi1</f>
        <v>2455</v>
      </c>
      <c r="HL76" s="6">
        <v>2001</v>
      </c>
      <c r="HM76" s="241">
        <f>Teknologi2</f>
        <v>1962.2</v>
      </c>
      <c r="HN76" s="241">
        <f>Tandel</f>
        <v>0.54659999999999997</v>
      </c>
      <c r="HO76" s="241">
        <f>IF(OR(HI76&gt;0,HI76=0),HJ76+HK76/(HL76-HM76),HJ76+HK76/(HL76-HM76)+HN76*HI76)</f>
        <v>122.87319587628873</v>
      </c>
      <c r="HP76" s="241">
        <f>IF(HI76&gt;0,HI76,0.001)</f>
        <v>70.589103350317529</v>
      </c>
      <c r="HQ76" s="241">
        <v>1.5020000000000001E-3</v>
      </c>
      <c r="HR76" s="24">
        <f>IF(R76=1,0,VLOOKUP(PostnrNbal,AfstromData,VLOOKUP($R76,Afgr,Data!$DL$3)+IF(Jordtype1&lt;7,Jordtype1,6),FALSE)-VLOOKUP(T76,Efgr,Data!$AA$53))</f>
        <v>304.76666666666603</v>
      </c>
      <c r="HS76" s="24">
        <f>IF(Nbal!GA76&lt;&gt;"",Nbal!GA76,Regn2!HR76)</f>
        <v>304.76666666666603</v>
      </c>
      <c r="HT76" s="241">
        <v>5.5400000000000002E-4</v>
      </c>
      <c r="HU76" s="24">
        <f>IF(R76=1,0,VLOOKUP(PostnrNbal,AfstromData,VLOOKUP($O76,Afgr,Data!$DL$3)+IF(B76&lt;7,B76,6),FALSE)-VLOOKUP(P76,Efgr,Data!$AA$53))</f>
        <v>304.76666666666603</v>
      </c>
      <c r="HV76" s="24">
        <f>IF(Nbal!FU76&lt;&gt;"",Nbal!FU76,Regn2!HU76)</f>
        <v>304.76666666666603</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54.79520325387854</v>
      </c>
      <c r="ID76">
        <f>IC76*Z76</f>
        <v>242.19479838214315</v>
      </c>
      <c r="IE76">
        <f>IF(Nbal!GF76&lt;&gt;"",Nbal!GF76,RetentionNbal)</f>
        <v>65</v>
      </c>
      <c r="IF76">
        <f>IC76*(100-IE76)*0.01</f>
        <v>19.178321138857488</v>
      </c>
      <c r="IG76">
        <f>IF76*Z76</f>
        <v>84.768179433750092</v>
      </c>
      <c r="IH76" s="2">
        <f>HS76*10000</f>
        <v>3047666.6666666605</v>
      </c>
      <c r="II76" s="2">
        <f>IH76*Z76</f>
        <v>13470686.666666638</v>
      </c>
      <c r="IJ76">
        <f>IF(ISERROR(IC76*1000*1000/IH76),0,IC76*1000*1000/IH76)</f>
        <v>17.979395139629876</v>
      </c>
      <c r="IL76">
        <f>AT76+AX76+BK76+BU76</f>
        <v>9620</v>
      </c>
      <c r="IO76">
        <f>VLOOKUP(R76,Afgr,Data!$AP$3)*UdsaedJust</f>
        <v>488</v>
      </c>
      <c r="IP76" s="3">
        <f>IF(Nbal!GN76&lt;&gt;"",Nbal!GN76,IO76)</f>
        <v>488</v>
      </c>
      <c r="IQ76" s="3">
        <f>IP76*Z76</f>
        <v>2156.96</v>
      </c>
      <c r="IS76" s="3">
        <f>IF(HdgVaerdiNbal=1,(BZ76+CA76)*Npris,(BZ76+CA76+CJ76+CK76)*Npris)</f>
        <v>228.14999999999998</v>
      </c>
      <c r="IT76" s="3">
        <f>IS76*Z76</f>
        <v>1008.4229999999999</v>
      </c>
      <c r="IV76">
        <f>VLOOKUP($R76,Afgr,Data!$BA$3)</f>
        <v>0</v>
      </c>
      <c r="IW76">
        <f>VLOOKUP($R76,Afgr,Data!$BB$3)</f>
        <v>2.5</v>
      </c>
      <c r="IX76">
        <f>$DS76+$EE76</f>
        <v>20.383000000000003</v>
      </c>
      <c r="IY76">
        <f>CT76</f>
        <v>17</v>
      </c>
      <c r="IZ76">
        <f>CQ76</f>
        <v>0</v>
      </c>
      <c r="JA76" s="3">
        <f>IF(HdgVaerdiNbal=1,(IZ76)*Ppris,(IY76+IZ76)*Ppris)</f>
        <v>0</v>
      </c>
      <c r="JB76" s="3">
        <f>JA76*Z76</f>
        <v>0</v>
      </c>
      <c r="JD76">
        <f>IF(AND(R76&gt;1,OR(Jordtype1=1,Jordtype1=3,Markvand1=2)),Kudvask,0)</f>
        <v>0</v>
      </c>
      <c r="JE76">
        <f>$DV76+$EH76</f>
        <v>52.972000000000001</v>
      </c>
      <c r="JF76">
        <f>DB76</f>
        <v>47</v>
      </c>
      <c r="JG76">
        <f>CY76</f>
        <v>0</v>
      </c>
      <c r="JH76" s="3">
        <f>IF(HdgVaerdiNbal=1,JG76*Kpris,(JF76+JG76)*Kpris)</f>
        <v>0</v>
      </c>
      <c r="JI76" s="3">
        <f>JH76*Z76</f>
        <v>0</v>
      </c>
      <c r="JK76">
        <f>IS76+JA76+JH76</f>
        <v>228.14999999999998</v>
      </c>
      <c r="JL76" s="3">
        <f>IF(Nbal!GT76&lt;&gt;"",Nbal!GT76,$JK76)</f>
        <v>228.14999999999998</v>
      </c>
      <c r="JM76" s="3">
        <f>JL76*Z76</f>
        <v>1008.4229999999999</v>
      </c>
      <c r="JO76">
        <f>VLOOKUP(R76,Afgr,Data!$AQ$3)*PlantevJust</f>
        <v>283</v>
      </c>
      <c r="JP76" s="3">
        <f>IF(Nbal!GZ76&lt;&gt;"",Nbal!GZ76,JO76)</f>
        <v>283</v>
      </c>
      <c r="JQ76" s="3">
        <f>JP76*Z76</f>
        <v>1250.8599999999999</v>
      </c>
      <c r="JS76">
        <f>VLOOKUP(R76,Afgr,Data!$AR$3)+AM76*VLOOKUP(R76,Afgr,Data!$BH$3)</f>
        <v>0</v>
      </c>
      <c r="JT76" s="3">
        <f>IF(Nbal!HF76&lt;&gt;"",Nbal!HF76,JS76)</f>
        <v>0</v>
      </c>
      <c r="JU76">
        <f>JT76*Z76</f>
        <v>0</v>
      </c>
      <c r="JW76">
        <f>IP76+JL76+JP76+JT76</f>
        <v>999.15</v>
      </c>
      <c r="JY76">
        <f>IF(VLOOKUP(R76,Afgr,Data!$BY$3)&gt;0,Data!$K$259*J76,0)</f>
        <v>600</v>
      </c>
      <c r="JZ76">
        <f>IF(VLOOKUP(R76,Afgr,Data!$BZ$3)&gt;0,Data!$K$260*J76,0)</f>
        <v>0</v>
      </c>
      <c r="KA76">
        <f>(JY76+JZ76)*MaskJust</f>
        <v>600</v>
      </c>
      <c r="KB76" s="3">
        <f>IF(Nbal!HL76&lt;&gt;"",Nbal!HL76,KA76)</f>
        <v>600</v>
      </c>
      <c r="KC76" s="3">
        <f>KB76*Z76</f>
        <v>2652</v>
      </c>
      <c r="KE76">
        <f>IF(VLOOKUP(R76,Afgr,Data!$CA$3)&gt;0,VLOOKUP(R76,Afgr,Data!$CA$3)*Data!$K$261*K76,0)</f>
        <v>0</v>
      </c>
      <c r="KF76">
        <f>IF(VLOOKUP(R76,Afgr,Data!$CC$3)&gt;0,Data!$K$262*K76,0)</f>
        <v>350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350</v>
      </c>
      <c r="KM76" s="3">
        <f>IF(Nbal!HR76&lt;&gt;"",Nbal!HR76,KL76)</f>
        <v>350</v>
      </c>
      <c r="KN76" s="3">
        <f>KM76*Z76</f>
        <v>1547</v>
      </c>
      <c r="KP76">
        <f>IF(VLOOKUP(R76,Afgr,Data!$CJ$3)&gt;0,VLOOKUP(R76,Afgr,Data!$CJ$3)*Data!$K$268*K76,0)*MaskJust</f>
        <v>140</v>
      </c>
      <c r="KQ76" s="3">
        <f>IF(Nbal!HX76&lt;&gt;"",Nbal!HX76,KP76)</f>
        <v>140</v>
      </c>
      <c r="KR76" s="3">
        <f>KQ76*Z76</f>
        <v>618.79999999999995</v>
      </c>
      <c r="KT76">
        <f>IF(VLOOKUP(R76,Afgr,Data!$CI$3)&gt;0,VLOOKUP(R76,Afgr,Data!$CI$3)*Data!$K$269,0)*MaskJust</f>
        <v>300</v>
      </c>
      <c r="KU76" s="3">
        <f>IF(Nbal!ID76&lt;&gt;"",Nbal!ID76,KT76)</f>
        <v>300</v>
      </c>
      <c r="KV76" s="3">
        <f>KU76*Z76</f>
        <v>1326</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746.47058823529403</v>
      </c>
      <c r="LE76">
        <f>IF(VLOOKUP($R76,Afgr,Data!$CK$3)&gt;0,IF(AND($S76=2,$BA76&gt;0),Data!$K$271,0),0)</f>
        <v>0</v>
      </c>
      <c r="LF76">
        <f>IF(VLOOKUP($R76,Afgr,Data!$CK$3)&gt;0,(AM76/VLOOKUP($R76,Afgr,Data!$CK$3))*VLOOKUP($R76,Afgr,Data!$CO$3)*VLOOKUP($R76,Afgr,Data!$CN$3),0)</f>
        <v>214.11764705882354</v>
      </c>
      <c r="LG76">
        <f>(LD76+LE76+LF76)*MaskJust</f>
        <v>960.58823529411757</v>
      </c>
      <c r="LH76" s="3">
        <f>IF(Nbal!IV76&lt;&gt;"",Nbal!IV76,LG76)</f>
        <v>960.58823529411757</v>
      </c>
      <c r="LI76" s="3">
        <f>LH76*Z76</f>
        <v>4245.7999999999993</v>
      </c>
      <c r="LJ76" s="3"/>
      <c r="LK76">
        <f>IF(AND($S76=1,VLOOKUP($R76,Afgr,Data!$CP$3)&gt;0),((1+$BC76/VLOOKUP($R76,Afgr,Data!$CP$3))/2)*VLOOKUP($R76,Afgr,Data!$CQ$3),0)</f>
        <v>525</v>
      </c>
      <c r="LL76">
        <f>IF(AND($S76=1,VLOOKUP($R76,Afgr,Data!$CP$3)&gt;0),($BC76/VLOOKUP($R76,Afgr,Data!$CP$3))*VLOOKUP($R76,Afgr,Data!$CR$3),0)</f>
        <v>200</v>
      </c>
      <c r="LM76">
        <f>(LK76+LL76)*MaskJust</f>
        <v>725</v>
      </c>
      <c r="LN76" s="3">
        <f>IF(Nbal!JB76&lt;&gt;"",Nbal!JB76,LM76)</f>
        <v>725</v>
      </c>
      <c r="LO76" s="3">
        <f>LN76*Z76</f>
        <v>3204.5</v>
      </c>
      <c r="LQ76">
        <f>$AM76*VLOOKUP($R76,Afgr,Data!$CS$3)*IF($V76=1,VLOOKUP($R76,Afgr,Data!$CT$3),IF($V76=2,VLOOKUP($R76,Afgr,Data!$CU$3),0))</f>
        <v>517.44000000000005</v>
      </c>
      <c r="LR76" s="3">
        <f>IF(Nbal!JK76&lt;&gt;"",Nbal!JK76,LQ76)</f>
        <v>517.44000000000005</v>
      </c>
      <c r="LS76" s="3">
        <f>LR76*Z76</f>
        <v>2287.0848000000001</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9620</v>
      </c>
      <c r="OE76">
        <f>JW76+MZ76</f>
        <v>999.15</v>
      </c>
      <c r="OF76">
        <f>OD76-OE76</f>
        <v>8620.85</v>
      </c>
      <c r="OG76">
        <f>OF76*Z76</f>
        <v>38104.156999999999</v>
      </c>
      <c r="OJ76">
        <f>VLOOKUP($O76,Afgr,Data!$BP$3)+VLOOKUP($P76,Efgr,Data!$AM$53)</f>
        <v>1</v>
      </c>
      <c r="OK76" s="3">
        <f>OJ76*Z76</f>
        <v>4.42</v>
      </c>
      <c r="OL76">
        <f>VLOOKUP($R76,Afgr,Data!$BP$3)+VLOOKUP($T76,Efgr,Data!$AM$53)</f>
        <v>1</v>
      </c>
      <c r="OM76" s="3">
        <f>OL76*Z76</f>
        <v>4.42</v>
      </c>
      <c r="OO76">
        <f>VLOOKUP($P76,Efgr,Data!$AN$53)</f>
        <v>0</v>
      </c>
      <c r="OP76">
        <f>VLOOKUP($O76,Afgr,Data!$BQ$3)</f>
        <v>1</v>
      </c>
      <c r="OQ76">
        <f>VLOOKUP($R76,Afgr,Data!$BR$3)</f>
        <v>1</v>
      </c>
      <c r="OR76">
        <f>OO76*OP76*OQ76</f>
        <v>0</v>
      </c>
      <c r="OS76" s="3">
        <f>OR76*Z76</f>
        <v>0</v>
      </c>
      <c r="OT76" s="3">
        <f>IF(Q76,1,0)*OS76</f>
        <v>0</v>
      </c>
      <c r="OV76">
        <f>VLOOKUP($T76,Efgr,Data!$AN$53)</f>
        <v>0</v>
      </c>
      <c r="OW76">
        <f>VLOOKUP($R76,Afgr,Data!$BQ$3)</f>
        <v>1</v>
      </c>
      <c r="OX76">
        <f>VLOOKUP($X76,Afgr,Data!$BR$3)</f>
        <v>1</v>
      </c>
      <c r="OY76">
        <f>OV76*OW76*OX76</f>
        <v>0</v>
      </c>
      <c r="OZ76" s="3">
        <f>OY76*Z76</f>
        <v>0</v>
      </c>
      <c r="PB76">
        <f>VLOOKUP($T76,Efgr,Data!$AO$53)</f>
        <v>0</v>
      </c>
      <c r="PC76">
        <f>VLOOKUP($O76,Afgr,Data!$BQ$3)</f>
        <v>1</v>
      </c>
      <c r="PD76">
        <f>VLOOKUP($R76,Afgr,Data!$BS$3)</f>
        <v>0</v>
      </c>
      <c r="PE76" s="3">
        <f>PB76*PC76*PD76*$Z76</f>
        <v>0</v>
      </c>
      <c r="PG76">
        <f>VLOOKUP($T76,Efgr,Data!$AO$53)</f>
        <v>0</v>
      </c>
      <c r="PH76">
        <f>VLOOKUP($R76,Afgr,Data!$BQ$3)</f>
        <v>1</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1</v>
      </c>
      <c r="PU76" s="3">
        <f>PT76*Z76</f>
        <v>4.42</v>
      </c>
      <c r="PV76">
        <f>VLOOKUP($R76,Afgr,Data!$BT$3)</f>
        <v>1</v>
      </c>
      <c r="PW76" s="3">
        <f>PV76*Z76</f>
        <v>4.42</v>
      </c>
      <c r="PY76">
        <f>VLOOKUP($R76,Afgr,Data!$BV$3)</f>
        <v>0</v>
      </c>
      <c r="PZ76">
        <f>PY76*Z76</f>
        <v>0</v>
      </c>
      <c r="QB76">
        <f>VLOOKUP($R76,Afgr,Data!$BW$3)</f>
        <v>0</v>
      </c>
      <c r="QC76">
        <f>QB76*Z76</f>
        <v>0</v>
      </c>
      <c r="QE76">
        <f>AM76*IF(VLOOKUP($R76,Afgr,Data!$BJ$3)&gt;0,1,0)</f>
        <v>56</v>
      </c>
      <c r="QF76">
        <f>QE76*Z76</f>
        <v>247.51999999999998</v>
      </c>
      <c r="QH76">
        <f>AM76*VLOOKUP(R76,Afgr,Data!$BK$3)</f>
        <v>5292</v>
      </c>
      <c r="QI76">
        <f>Z76*QH76</f>
        <v>23390.639999999999</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25247.039999999997</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1.08</v>
      </c>
      <c r="RJ76">
        <f>((CJ76+CK76+CL76+Regn2!CO76*0.7)-(RR76+RT76))*VLOOKUP(B76,Jordtype,Data!$AE$112+DenitNr-1)</f>
        <v>7.9550625000000013</v>
      </c>
      <c r="RK76">
        <f>0*VLOOKUP(B76,Jordtype,Data!$AE$112+DenitNr-1)</f>
        <v>0</v>
      </c>
      <c r="RL76">
        <f>Regn2!FD76*VLOOKUP(B76,Jordtype,Data!$AH$112+DenitNr-1)</f>
        <v>0</v>
      </c>
      <c r="RM76" s="3">
        <f>RH76+RI76+RJ76+RK76+RL76</f>
        <v>16.285062500000002</v>
      </c>
      <c r="RO76">
        <v>2</v>
      </c>
      <c r="RP76">
        <f>(FF76)*RO76*0.01</f>
        <v>0.54</v>
      </c>
      <c r="RQ76">
        <v>7</v>
      </c>
      <c r="RR76">
        <f>CE76*RQ76*0.01</f>
        <v>0</v>
      </c>
      <c r="RS76">
        <v>7</v>
      </c>
      <c r="RT76">
        <f>(Regn2!CF76+Regn2!CG76)*RS76*0.01</f>
        <v>6.09</v>
      </c>
      <c r="RW76">
        <f>VLOOKUP(R76,Afgr,Data!$EE$3)</f>
        <v>5</v>
      </c>
      <c r="RX76" s="3">
        <f>RP76+RR76+RT76+RV76+RW76</f>
        <v>11.629999999999999</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375.41000000000008</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3263.1599999999994</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691.25999999999988</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9959.82</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12926.998790849226</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2584.8183520000002</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9565.3274399999991</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1039.9726232734299</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176.96285999999998</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2509.5570000000002</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4866.21</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17007.000000000004</v>
      </c>
      <c r="FJ102" s="211"/>
      <c r="FK102" s="242">
        <f t="shared" si="0"/>
        <v>171.6846864</v>
      </c>
      <c r="FL102" s="211"/>
      <c r="FM102" s="242">
        <f t="shared" si="0"/>
        <v>1852.1999999999998</v>
      </c>
      <c r="FN102" s="211"/>
      <c r="FO102" s="242">
        <f t="shared" si="0"/>
        <v>893.19743434414522</v>
      </c>
      <c r="FP102" s="211"/>
      <c r="FQ102" s="211"/>
      <c r="FR102" s="211"/>
      <c r="FS102" s="242">
        <f t="shared" si="0"/>
        <v>24790.292120744147</v>
      </c>
      <c r="FT102" s="242">
        <f t="shared" si="0"/>
        <v>13966.971414122652</v>
      </c>
      <c r="FU102" s="242">
        <f t="shared" si="0"/>
        <v>10823.320706621485</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3638.5699999999997</v>
      </c>
      <c r="FZ102" s="242">
        <f t="shared" si="1"/>
        <v>2761.7812120000008</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876.78878799999984</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10651.08</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12074.88444</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-1423.8044399999997</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197.65542292344122</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46.222222222222221</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4314.6000499024121</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1510.1100174658436</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1-0</v>
      </c>
      <c r="C12" s="229"/>
      <c r="D12" s="229" t="str">
        <f>IF(ISERROR(VLOOKUP(Regn2!B18,Jordtype,2)),"",IF(F12="","",VLOOKUP(Regn2!B18,Jordtype,2)))</f>
        <v>JB 6</v>
      </c>
      <c r="E12" s="229"/>
      <c r="F12" s="229" t="str">
        <f>IF(OR(ISERROR(VLOOKUP(Regn2!R18,Afgr,2)),VLOOKUP(Regn2!R18,Afgr,2)=0),"",VLOOKUP(Regn2!R18,Afgr,2))</f>
        <v>Vårbyg, foder</v>
      </c>
      <c r="G12" s="229"/>
      <c r="H12" s="229" t="str">
        <f>IF(Regn2!T18&lt;=1,"",VLOOKUP(Regn2!T18,Efgr,2))</f>
        <v>Gul sennep E</v>
      </c>
      <c r="I12" s="229"/>
      <c r="J12" s="229" t="str">
        <f>IF(OR(ISERROR(VLOOKUP(Regn2!X18,Afgr,2)),VLOOKUP(Regn2!X18,Afgr,2)=0),"",VLOOKUP(Regn2!X18,Afgr,2))</f>
        <v>Vårbyg, foder</v>
      </c>
      <c r="K12" s="229"/>
      <c r="L12" s="234">
        <f>IF(Regn2!Z18=0,"",Regn2!Z18)</f>
        <v>4.25</v>
      </c>
      <c r="M12" s="234" t="str">
        <f>IF(L12&lt;&gt;"","ha","")</f>
        <v>ha</v>
      </c>
      <c r="N12" s="229"/>
      <c r="O12" s="229">
        <f>IF(Regn2!AM18=0,"",Regn2!AM18)</f>
        <v>56</v>
      </c>
      <c r="P12" s="229" t="str">
        <f>IF(O12="","",Regn2!AO18)</f>
        <v>hkg</v>
      </c>
      <c r="Q12" s="229"/>
      <c r="R12" s="235">
        <f>IF(F12="","",IF(Regn2!S18=2,"Nedm.",Regn2!BC18))</f>
        <v>3000</v>
      </c>
      <c r="S12" s="229" t="str">
        <f>IF(R12="","",IF(R12="Nedmuldet","","kg"))</f>
        <v>kg</v>
      </c>
      <c r="T12" s="229"/>
      <c r="U12" s="235">
        <f>IF(F12="","",Regn2!FR18)</f>
        <v>41.889097653631268</v>
      </c>
      <c r="V12" s="229" t="str">
        <f>IF(U12&lt;&gt;"","kg","")</f>
        <v>kg</v>
      </c>
      <c r="W12" s="229"/>
      <c r="X12" s="236">
        <f>IF(F12="","",Regn2!IC18)</f>
        <v>20.942767723685982</v>
      </c>
      <c r="Y12" s="229" t="str">
        <f>IF(X12&lt;&gt;"","kg","")</f>
        <v>kg</v>
      </c>
      <c r="Z12" s="229"/>
      <c r="AA12" s="235">
        <f>IF(F12="","",Regn2!IE18)</f>
        <v>65</v>
      </c>
      <c r="AB12" s="229" t="str">
        <f>IF(AA12&lt;&gt;"","%","")</f>
        <v>%</v>
      </c>
      <c r="AC12" s="229"/>
      <c r="AD12" s="235">
        <f>IF(F12="","",Regn2!IF18)</f>
        <v>7.3299687032900946</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1-1</v>
      </c>
      <c r="C14" s="229"/>
      <c r="D14" s="229" t="str">
        <f>IF(ISERROR(VLOOKUP(Regn2!B20,Jordtype,2)),"",IF(F14="","",VLOOKUP(Regn2!B20,Jordtype,2)))</f>
        <v>JB 6</v>
      </c>
      <c r="E14" s="229"/>
      <c r="F14" s="229" t="str">
        <f>IF(OR(ISERROR(VLOOKUP(Regn2!R20,Afgr,2)),VLOOKUP(Regn2!R20,Afgr,2)=0),"",VLOOKUP(Regn2!R20,Afgr,2))</f>
        <v>Permanent græs</v>
      </c>
      <c r="G14" s="229"/>
      <c r="H14" s="229" t="str">
        <f>IF(Regn2!T20&lt;=1,"",VLOOKUP(Regn2!T20,Efgr,2))</f>
        <v/>
      </c>
      <c r="I14" s="229"/>
      <c r="J14" s="229" t="str">
        <f>IF(OR(ISERROR(VLOOKUP(Regn2!X20,Afgr,2)),VLOOKUP(Regn2!X20,Afgr,2)=0),"",VLOOKUP(Regn2!X20,Afgr,2))</f>
        <v>Permanent græs</v>
      </c>
      <c r="K14" s="229"/>
      <c r="L14" s="234">
        <f>IF(Regn2!Z20=0,"",Regn2!Z20)</f>
        <v>1.4</v>
      </c>
      <c r="M14" s="234" t="str">
        <f t="shared" ref="M14" si="0">IF(L14&lt;&gt;"","ha","")</f>
        <v>ha</v>
      </c>
      <c r="N14" s="229"/>
      <c r="O14" s="229">
        <f>IF(Regn2!AM20=0,"",Regn2!AM20)</f>
        <v>3000</v>
      </c>
      <c r="P14" s="229" t="str">
        <f>IF(O14="","",Regn2!AO20)</f>
        <v>FE</v>
      </c>
      <c r="Q14" s="229"/>
      <c r="R14" s="235">
        <f>IF(F14="","",IF(Regn2!S20=2,"Nedm.",Regn2!BC20))</f>
        <v>0</v>
      </c>
      <c r="S14" s="229" t="str">
        <f t="shared" ref="S14" si="1">IF(R14="","",IF(R14="Nedmuldet","","kg"))</f>
        <v>kg</v>
      </c>
      <c r="T14" s="229"/>
      <c r="U14" s="235">
        <f>IF(F14="","",Regn2!FR20)</f>
        <v>-10.951999999999984</v>
      </c>
      <c r="V14" s="229" t="str">
        <f t="shared" ref="V14" si="2">IF(U14&lt;&gt;"","kg","")</f>
        <v>kg</v>
      </c>
      <c r="W14" s="229"/>
      <c r="X14" s="236">
        <f>IF(F14="","",Regn2!IC20)</f>
        <v>10.335664245017584</v>
      </c>
      <c r="Y14" s="229" t="str">
        <f t="shared" ref="Y14" si="3">IF(X14&lt;&gt;"","kg","")</f>
        <v>kg</v>
      </c>
      <c r="Z14" s="229"/>
      <c r="AA14" s="235">
        <f>IF(F14="","",Regn2!IE20)</f>
        <v>65</v>
      </c>
      <c r="AB14" s="229" t="str">
        <f t="shared" ref="AB14" si="4">IF(AA14&lt;&gt;"","%","")</f>
        <v>%</v>
      </c>
      <c r="AC14" s="229"/>
      <c r="AD14" s="235">
        <f>IF(F14="","",Regn2!IF20)</f>
        <v>3.6174824857561543</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3-0</v>
      </c>
      <c r="C16" s="229"/>
      <c r="D16" s="229" t="str">
        <f>IF(ISERROR(VLOOKUP(Regn2!B22,Jordtype,2)),"",IF(F16="","",VLOOKUP(Regn2!B22,Jordtype,2)))</f>
        <v>JB 6</v>
      </c>
      <c r="E16" s="229"/>
      <c r="F16" s="229" t="str">
        <f>IF(OR(ISERROR(VLOOKUP(Regn2!R22,Afgr,2)),VLOOKUP(Regn2!R22,Afgr,2)=0),"",VLOOKUP(Regn2!R22,Afgr,2))</f>
        <v>Majs, helsæd</v>
      </c>
      <c r="G16" s="229"/>
      <c r="H16" s="229" t="str">
        <f>IF(Regn2!T22&lt;=1,"",VLOOKUP(Regn2!T22,Efgr,2))</f>
        <v/>
      </c>
      <c r="I16" s="229"/>
      <c r="J16" s="229" t="str">
        <f>IF(OR(ISERROR(VLOOKUP(Regn2!X22,Afgr,2)),VLOOKUP(Regn2!X22,Afgr,2)=0),"",VLOOKUP(Regn2!X22,Afgr,2))</f>
        <v>Vårbyg, foder</v>
      </c>
      <c r="K16" s="229"/>
      <c r="L16" s="234">
        <f>IF(Regn2!Z22=0,"",Regn2!Z22)</f>
        <v>13.62</v>
      </c>
      <c r="M16" s="234" t="str">
        <f t="shared" ref="M16:M30" si="6">IF(L16&lt;&gt;"","ha","")</f>
        <v>ha</v>
      </c>
      <c r="N16" s="229"/>
      <c r="O16" s="229">
        <f>IF(Regn2!AM22=0,"",Regn2!AM22)</f>
        <v>10300</v>
      </c>
      <c r="P16" s="229" t="str">
        <f>IF(O16="","",Regn2!AO22)</f>
        <v>FE</v>
      </c>
      <c r="Q16" s="229"/>
      <c r="R16" s="235">
        <f>IF(F16="","",IF(Regn2!S22=2,"Nedm.",Regn2!BC22))</f>
        <v>0</v>
      </c>
      <c r="S16" s="229" t="str">
        <f t="shared" ref="S16:S30" si="7">IF(R16="","",IF(R16="Nedmuldet","","kg"))</f>
        <v>kg</v>
      </c>
      <c r="T16" s="229"/>
      <c r="U16" s="235">
        <f>IF(F16="","",Regn2!FR22)</f>
        <v>178.80396775680003</v>
      </c>
      <c r="V16" s="229" t="str">
        <f t="shared" ref="V16:V30" si="8">IF(U16&lt;&gt;"","kg","")</f>
        <v>kg</v>
      </c>
      <c r="W16" s="229"/>
      <c r="X16" s="236">
        <f>IF(F16="","",Regn2!IC22)</f>
        <v>79.039671663074913</v>
      </c>
      <c r="Y16" s="229" t="str">
        <f t="shared" ref="Y16:Y30" si="9">IF(X16&lt;&gt;"","kg","")</f>
        <v>kg</v>
      </c>
      <c r="Z16" s="229"/>
      <c r="AA16" s="235">
        <f>IF(F16="","",Regn2!IE22)</f>
        <v>65</v>
      </c>
      <c r="AB16" s="229" t="str">
        <f t="shared" ref="AB16:AB30" si="10">IF(AA16&lt;&gt;"","%","")</f>
        <v>%</v>
      </c>
      <c r="AC16" s="229"/>
      <c r="AD16" s="235">
        <f>IF(F16="","",Regn2!IF22)</f>
        <v>27.663885082076217</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8-0</v>
      </c>
      <c r="C18" s="229"/>
      <c r="D18" s="229" t="str">
        <f>IF(ISERROR(VLOOKUP(Regn2!B24,Jordtype,2)),"",IF(F18="","",VLOOKUP(Regn2!B24,Jordtype,2)))</f>
        <v>JB 6</v>
      </c>
      <c r="E18" s="229"/>
      <c r="F18" s="229" t="str">
        <f>IF(OR(ISERROR(VLOOKUP(Regn2!R24,Afgr,2)),VLOOKUP(Regn2!R24,Afgr,2)=0),"",VLOOKUP(Regn2!R24,Afgr,2))</f>
        <v>Vårbyg, foder</v>
      </c>
      <c r="G18" s="229"/>
      <c r="H18" s="229" t="str">
        <f>IF(Regn2!T24&lt;=1,"",VLOOKUP(Regn2!T24,Efgr,2))</f>
        <v>Gul sennep E</v>
      </c>
      <c r="I18" s="229"/>
      <c r="J18" s="229" t="str">
        <f>IF(OR(ISERROR(VLOOKUP(Regn2!X24,Afgr,2)),VLOOKUP(Regn2!X24,Afgr,2)=0),"",VLOOKUP(Regn2!X24,Afgr,2))</f>
        <v>Vårbyg, foder</v>
      </c>
      <c r="K18" s="229"/>
      <c r="L18" s="234">
        <f>IF(Regn2!Z24=0,"",Regn2!Z24)</f>
        <v>2.95</v>
      </c>
      <c r="M18" s="234" t="str">
        <f t="shared" si="6"/>
        <v>ha</v>
      </c>
      <c r="N18" s="229"/>
      <c r="O18" s="229">
        <f>IF(Regn2!AM24=0,"",Regn2!AM24)</f>
        <v>56</v>
      </c>
      <c r="P18" s="229" t="str">
        <f>IF(O18="","",Regn2!AO24)</f>
        <v>hkg</v>
      </c>
      <c r="Q18" s="229"/>
      <c r="R18" s="235">
        <f>IF(F18="","",IF(Regn2!S24=2,"Nedm.",Regn2!BC24))</f>
        <v>3000</v>
      </c>
      <c r="S18" s="229" t="str">
        <f t="shared" si="7"/>
        <v>kg</v>
      </c>
      <c r="T18" s="229"/>
      <c r="U18" s="235">
        <f>IF(F18="","",Regn2!FR24)</f>
        <v>41.889097653631268</v>
      </c>
      <c r="V18" s="229" t="str">
        <f t="shared" si="8"/>
        <v>kg</v>
      </c>
      <c r="W18" s="229"/>
      <c r="X18" s="236">
        <f>IF(F18="","",Regn2!IC24)</f>
        <v>20.942767723685982</v>
      </c>
      <c r="Y18" s="229" t="str">
        <f t="shared" si="9"/>
        <v>kg</v>
      </c>
      <c r="Z18" s="229"/>
      <c r="AA18" s="235">
        <f>IF(F18="","",Regn2!IE24)</f>
        <v>65</v>
      </c>
      <c r="AB18" s="229" t="str">
        <f t="shared" si="10"/>
        <v>%</v>
      </c>
      <c r="AC18" s="229"/>
      <c r="AD18" s="235">
        <f>IF(F18="","",Regn2!IF24)</f>
        <v>7.3299687032900946</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8-1</v>
      </c>
      <c r="C20" s="229"/>
      <c r="D20" s="229" t="str">
        <f>IF(ISERROR(VLOOKUP(Regn2!B26,Jordtype,2)),"",IF(F20="","",VLOOKUP(Regn2!B26,Jordtype,2)))</f>
        <v>JB 6</v>
      </c>
      <c r="E20" s="229"/>
      <c r="F20" s="229" t="str">
        <f>IF(OR(ISERROR(VLOOKUP(Regn2!R26,Afgr,2)),VLOOKUP(Regn2!R26,Afgr,2)=0),"",VLOOKUP(Regn2!R26,Afgr,2))</f>
        <v>Kløvergræs, 4 slæt</v>
      </c>
      <c r="G20" s="229"/>
      <c r="H20" s="229" t="str">
        <f>IF(Regn2!T26&lt;=1,"",VLOOKUP(Regn2!T26,Efgr,2))</f>
        <v/>
      </c>
      <c r="I20" s="229"/>
      <c r="J20" s="229" t="str">
        <f>IF(OR(ISERROR(VLOOKUP(Regn2!X26,Afgr,2)),VLOOKUP(Regn2!X26,Afgr,2)=0),"",VLOOKUP(Regn2!X26,Afgr,2))</f>
        <v>Vårbyg, foder</v>
      </c>
      <c r="K20" s="229"/>
      <c r="L20" s="234">
        <f>IF(Regn2!Z26=0,"",Regn2!Z26)</f>
        <v>5.85</v>
      </c>
      <c r="M20" s="234" t="str">
        <f t="shared" si="6"/>
        <v>ha</v>
      </c>
      <c r="N20" s="229"/>
      <c r="O20" s="229">
        <f>IF(Regn2!AM26=0,"",Regn2!AM26)</f>
        <v>7600</v>
      </c>
      <c r="P20" s="229" t="str">
        <f>IF(O20="","",Regn2!AO26)</f>
        <v>FE</v>
      </c>
      <c r="Q20" s="229"/>
      <c r="R20" s="235">
        <f>IF(F20="","",IF(Regn2!S26=2,"Nedm.",Regn2!BC26))</f>
        <v>0</v>
      </c>
      <c r="S20" s="229" t="str">
        <f t="shared" si="7"/>
        <v>kg</v>
      </c>
      <c r="T20" s="229"/>
      <c r="U20" s="235">
        <f>IF(F20="","",Regn2!FR26)</f>
        <v>357.45439717809995</v>
      </c>
      <c r="V20" s="229" t="str">
        <f t="shared" si="8"/>
        <v>kg</v>
      </c>
      <c r="W20" s="229"/>
      <c r="X20" s="236">
        <f>IF(F20="","",Regn2!IC26)</f>
        <v>21.777855834533796</v>
      </c>
      <c r="Y20" s="229" t="str">
        <f t="shared" si="9"/>
        <v>kg</v>
      </c>
      <c r="Z20" s="229"/>
      <c r="AA20" s="235">
        <f>IF(F20="","",Regn2!IE26)</f>
        <v>65</v>
      </c>
      <c r="AB20" s="229" t="str">
        <f t="shared" si="10"/>
        <v>%</v>
      </c>
      <c r="AC20" s="229"/>
      <c r="AD20" s="235">
        <f>IF(F20="","",Regn2!IF26)</f>
        <v>7.6222495420868288</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9-0</v>
      </c>
      <c r="C22" s="229"/>
      <c r="D22" s="229" t="str">
        <f>IF(ISERROR(VLOOKUP(Regn2!B28,Jordtype,2)),"",IF(F22="","",VLOOKUP(Regn2!B28,Jordtype,2)))</f>
        <v>JB 6</v>
      </c>
      <c r="E22" s="229"/>
      <c r="F22" s="229" t="str">
        <f>IF(OR(ISERROR(VLOOKUP(Regn2!R28,Afgr,2)),VLOOKUP(Regn2!R28,Afgr,2)=0),"",VLOOKUP(Regn2!R28,Afgr,2))</f>
        <v>Permanent græs</v>
      </c>
      <c r="G22" s="229"/>
      <c r="H22" s="229" t="str">
        <f>IF(Regn2!T28&lt;=1,"",VLOOKUP(Regn2!T28,Efgr,2))</f>
        <v/>
      </c>
      <c r="I22" s="229"/>
      <c r="J22" s="229" t="str">
        <f>IF(OR(ISERROR(VLOOKUP(Regn2!X28,Afgr,2)),VLOOKUP(Regn2!X28,Afgr,2)=0),"",VLOOKUP(Regn2!X28,Afgr,2))</f>
        <v>Permanent græs</v>
      </c>
      <c r="K22" s="229"/>
      <c r="L22" s="234">
        <f>IF(Regn2!Z28=0,"",Regn2!Z28)</f>
        <v>2.02</v>
      </c>
      <c r="M22" s="234" t="str">
        <f t="shared" si="6"/>
        <v>ha</v>
      </c>
      <c r="N22" s="229"/>
      <c r="O22" s="229">
        <f>IF(Regn2!AM28=0,"",Regn2!AM28)</f>
        <v>3000</v>
      </c>
      <c r="P22" s="229" t="str">
        <f>IF(O22="","",Regn2!AO28)</f>
        <v>FE</v>
      </c>
      <c r="Q22" s="229"/>
      <c r="R22" s="235">
        <f>IF(F22="","",IF(Regn2!S28=2,"Nedm.",Regn2!BC28))</f>
        <v>0</v>
      </c>
      <c r="S22" s="229" t="str">
        <f t="shared" si="7"/>
        <v>kg</v>
      </c>
      <c r="T22" s="229"/>
      <c r="U22" s="235">
        <f>IF(F22="","",Regn2!FR28)</f>
        <v>-10.951999999999984</v>
      </c>
      <c r="V22" s="229" t="str">
        <f t="shared" si="8"/>
        <v>kg</v>
      </c>
      <c r="W22" s="229"/>
      <c r="X22" s="236">
        <f>IF(F22="","",Regn2!IC28)</f>
        <v>10.335664245017584</v>
      </c>
      <c r="Y22" s="229" t="str">
        <f t="shared" si="9"/>
        <v>kg</v>
      </c>
      <c r="Z22" s="229"/>
      <c r="AA22" s="235">
        <f>IF(F22="","",Regn2!IE28)</f>
        <v>65</v>
      </c>
      <c r="AB22" s="229" t="str">
        <f t="shared" si="10"/>
        <v>%</v>
      </c>
      <c r="AC22" s="229"/>
      <c r="AD22" s="235">
        <f>IF(F22="","",Regn2!IF28)</f>
        <v>3.6174824857561543</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11-0</v>
      </c>
      <c r="C24" s="229"/>
      <c r="D24" s="229" t="str">
        <f>IF(ISERROR(VLOOKUP(Regn2!B30,Jordtype,2)),"",IF(F24="","",VLOOKUP(Regn2!B30,Jordtype,2)))</f>
        <v>JB 6</v>
      </c>
      <c r="E24" s="229"/>
      <c r="F24" s="229" t="str">
        <f>IF(OR(ISERROR(VLOOKUP(Regn2!R30,Afgr,2)),VLOOKUP(Regn2!R30,Afgr,2)=0),"",VLOOKUP(Regn2!R30,Afgr,2))</f>
        <v>Vårbyg, foder</v>
      </c>
      <c r="G24" s="229"/>
      <c r="H24" s="229" t="str">
        <f>IF(Regn2!T30&lt;=1,"",VLOOKUP(Regn2!T30,Efgr,2))</f>
        <v/>
      </c>
      <c r="I24" s="229"/>
      <c r="J24" s="229" t="str">
        <f>IF(OR(ISERROR(VLOOKUP(Regn2!X30,Afgr,2)),VLOOKUP(Regn2!X30,Afgr,2)=0),"",VLOOKUP(Regn2!X30,Afgr,2))</f>
        <v>Vinterhvede</v>
      </c>
      <c r="K24" s="229"/>
      <c r="L24" s="234">
        <f>IF(Regn2!Z30=0,"",Regn2!Z30)</f>
        <v>2.72</v>
      </c>
      <c r="M24" s="234" t="str">
        <f t="shared" si="6"/>
        <v>ha</v>
      </c>
      <c r="N24" s="229"/>
      <c r="O24" s="229">
        <f>IF(Regn2!AM30=0,"",Regn2!AM30)</f>
        <v>56</v>
      </c>
      <c r="P24" s="229" t="str">
        <f>IF(O24="","",Regn2!AO30)</f>
        <v>hkg</v>
      </c>
      <c r="Q24" s="229"/>
      <c r="R24" s="235">
        <f>IF(F24="","",IF(Regn2!S30=2,"Nedm.",Regn2!BC30))</f>
        <v>3000</v>
      </c>
      <c r="S24" s="229" t="str">
        <f t="shared" si="7"/>
        <v>kg</v>
      </c>
      <c r="T24" s="229"/>
      <c r="U24" s="235">
        <f>IF(F24="","",Regn2!FR30)</f>
        <v>44.974519776536283</v>
      </c>
      <c r="V24" s="229" t="str">
        <f t="shared" si="8"/>
        <v>kg</v>
      </c>
      <c r="W24" s="229"/>
      <c r="X24" s="236">
        <f>IF(F24="","",Regn2!IC30)</f>
        <v>50.778538531193952</v>
      </c>
      <c r="Y24" s="229" t="str">
        <f t="shared" si="9"/>
        <v>kg</v>
      </c>
      <c r="Z24" s="229"/>
      <c r="AA24" s="235">
        <f>IF(F24="","",Regn2!IE30)</f>
        <v>65</v>
      </c>
      <c r="AB24" s="229" t="str">
        <f t="shared" si="10"/>
        <v>%</v>
      </c>
      <c r="AC24" s="229"/>
      <c r="AD24" s="235">
        <f>IF(F24="","",Regn2!IF30)</f>
        <v>17.772488485917883</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12-0</v>
      </c>
      <c r="C26" s="229"/>
      <c r="D26" s="229" t="str">
        <f>IF(ISERROR(VLOOKUP(Regn2!B32,Jordtype,2)),"",IF(F26="","",VLOOKUP(Regn2!B32,Jordtype,2)))</f>
        <v>JB 6</v>
      </c>
      <c r="E26" s="229"/>
      <c r="F26" s="229" t="str">
        <f>IF(OR(ISERROR(VLOOKUP(Regn2!R32,Afgr,2)),VLOOKUP(Regn2!R32,Afgr,2)=0),"",VLOOKUP(Regn2!R32,Afgr,2))</f>
        <v>Vårbyg, foder</v>
      </c>
      <c r="G26" s="229"/>
      <c r="H26" s="229" t="str">
        <f>IF(Regn2!T32&lt;=1,"",VLOOKUP(Regn2!T32,Efgr,2))</f>
        <v/>
      </c>
      <c r="I26" s="229"/>
      <c r="J26" s="229" t="str">
        <f>IF(OR(ISERROR(VLOOKUP(Regn2!X32,Afgr,2)),VLOOKUP(Regn2!X32,Afgr,2)=0),"",VLOOKUP(Regn2!X32,Afgr,2))</f>
        <v>Vinterhvede</v>
      </c>
      <c r="K26" s="229"/>
      <c r="L26" s="234">
        <f>IF(Regn2!Z32=0,"",Regn2!Z32)</f>
        <v>3.27</v>
      </c>
      <c r="M26" s="234" t="str">
        <f t="shared" si="6"/>
        <v>ha</v>
      </c>
      <c r="N26" s="229"/>
      <c r="O26" s="229">
        <f>IF(Regn2!AM32=0,"",Regn2!AM32)</f>
        <v>56</v>
      </c>
      <c r="P26" s="229" t="str">
        <f>IF(O26="","",Regn2!AO32)</f>
        <v>hkg</v>
      </c>
      <c r="Q26" s="229"/>
      <c r="R26" s="235">
        <f>IF(F26="","",IF(Regn2!S32=2,"Nedm.",Regn2!BC32))</f>
        <v>3000</v>
      </c>
      <c r="S26" s="229" t="str">
        <f t="shared" si="7"/>
        <v>kg</v>
      </c>
      <c r="T26" s="229"/>
      <c r="U26" s="235">
        <f>IF(F26="","",Regn2!FR32)</f>
        <v>44.974519776536283</v>
      </c>
      <c r="V26" s="229" t="str">
        <f t="shared" si="8"/>
        <v>kg</v>
      </c>
      <c r="W26" s="229"/>
      <c r="X26" s="236">
        <f>IF(F26="","",Regn2!IC32)</f>
        <v>50.778538531193952</v>
      </c>
      <c r="Y26" s="229" t="str">
        <f t="shared" si="9"/>
        <v>kg</v>
      </c>
      <c r="Z26" s="229"/>
      <c r="AA26" s="235">
        <f>IF(F26="","",Regn2!IE32)</f>
        <v>65</v>
      </c>
      <c r="AB26" s="229" t="str">
        <f t="shared" si="10"/>
        <v>%</v>
      </c>
      <c r="AC26" s="229"/>
      <c r="AD26" s="235">
        <f>IF(F26="","",Regn2!IF32)</f>
        <v>17.772488485917883</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14-0</v>
      </c>
      <c r="C28" s="229"/>
      <c r="D28" s="229" t="str">
        <f>IF(ISERROR(VLOOKUP(Regn2!B34,Jordtype,2)),"",IF(F28="","",VLOOKUP(Regn2!B34,Jordtype,2)))</f>
        <v>JB 6</v>
      </c>
      <c r="E28" s="229"/>
      <c r="F28" s="229" t="str">
        <f>IF(OR(ISERROR(VLOOKUP(Regn2!R34,Afgr,2)),VLOOKUP(Regn2!R34,Afgr,2)=0),"",VLOOKUP(Regn2!R34,Afgr,2))</f>
        <v>Vårbyg, foder</v>
      </c>
      <c r="G28" s="229"/>
      <c r="H28" s="229" t="str">
        <f>IF(Regn2!T34&lt;=1,"",VLOOKUP(Regn2!T34,Efgr,2))</f>
        <v/>
      </c>
      <c r="I28" s="229"/>
      <c r="J28" s="229" t="str">
        <f>IF(OR(ISERROR(VLOOKUP(Regn2!X34,Afgr,2)),VLOOKUP(Regn2!X34,Afgr,2)=0),"",VLOOKUP(Regn2!X34,Afgr,2))</f>
        <v>Vinterhvede</v>
      </c>
      <c r="K28" s="229"/>
      <c r="L28" s="234">
        <f>IF(Regn2!Z34=0,"",Regn2!Z34)</f>
        <v>8.93</v>
      </c>
      <c r="M28" s="234" t="str">
        <f t="shared" si="6"/>
        <v>ha</v>
      </c>
      <c r="N28" s="229"/>
      <c r="O28" s="229">
        <f>IF(Regn2!AM34=0,"",Regn2!AM34)</f>
        <v>56</v>
      </c>
      <c r="P28" s="229" t="str">
        <f>IF(O28="","",Regn2!AO34)</f>
        <v>hkg</v>
      </c>
      <c r="Q28" s="229"/>
      <c r="R28" s="235">
        <f>IF(F28="","",IF(Regn2!S34=2,"Nedm.",Regn2!BC34))</f>
        <v>3000</v>
      </c>
      <c r="S28" s="229" t="str">
        <f t="shared" si="7"/>
        <v>kg</v>
      </c>
      <c r="T28" s="229"/>
      <c r="U28" s="235">
        <f>IF(F28="","",Regn2!FR34)</f>
        <v>44.974519776536283</v>
      </c>
      <c r="V28" s="229" t="str">
        <f t="shared" si="8"/>
        <v>kg</v>
      </c>
      <c r="W28" s="229"/>
      <c r="X28" s="236">
        <f>IF(F28="","",Regn2!IC34)</f>
        <v>51.773220084389841</v>
      </c>
      <c r="Y28" s="229" t="str">
        <f t="shared" si="9"/>
        <v>kg</v>
      </c>
      <c r="Z28" s="229"/>
      <c r="AA28" s="235">
        <f>IF(F28="","",Regn2!IE34)</f>
        <v>65</v>
      </c>
      <c r="AB28" s="229" t="str">
        <f t="shared" si="10"/>
        <v>%</v>
      </c>
      <c r="AC28" s="229"/>
      <c r="AD28" s="235">
        <f>IF(F28="","",Regn2!IF34)</f>
        <v>18.120627029536447</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15-0</v>
      </c>
      <c r="C30" s="229"/>
      <c r="D30" s="229" t="str">
        <f>IF(ISERROR(VLOOKUP(Regn2!B36,Jordtype,2)),"",IF(F30="","",VLOOKUP(Regn2!B36,Jordtype,2)))</f>
        <v>JB 6</v>
      </c>
      <c r="E30" s="229"/>
      <c r="F30" s="229" t="str">
        <f>IF(OR(ISERROR(VLOOKUP(Regn2!R36,Afgr,2)),VLOOKUP(Regn2!R36,Afgr,2)=0),"",VLOOKUP(Regn2!R36,Afgr,2))</f>
        <v>Vårbyg, foder</v>
      </c>
      <c r="G30" s="229"/>
      <c r="H30" s="229" t="str">
        <f>IF(Regn2!T36&lt;=1,"",VLOOKUP(Regn2!T36,Efgr,2))</f>
        <v/>
      </c>
      <c r="I30" s="229"/>
      <c r="J30" s="229" t="str">
        <f>IF(OR(ISERROR(VLOOKUP(Regn2!X36,Afgr,2)),VLOOKUP(Regn2!X36,Afgr,2)=0),"",VLOOKUP(Regn2!X36,Afgr,2))</f>
        <v>Vinterhvede</v>
      </c>
      <c r="K30" s="229"/>
      <c r="L30" s="234">
        <f>IF(Regn2!Z36=0,"",Regn2!Z36)</f>
        <v>3.78</v>
      </c>
      <c r="M30" s="234" t="str">
        <f t="shared" si="6"/>
        <v>ha</v>
      </c>
      <c r="N30" s="229"/>
      <c r="O30" s="229">
        <f>IF(Regn2!AM36=0,"",Regn2!AM36)</f>
        <v>56</v>
      </c>
      <c r="P30" s="229" t="str">
        <f>IF(O30="","",Regn2!AO36)</f>
        <v>hkg</v>
      </c>
      <c r="Q30" s="229"/>
      <c r="R30" s="235">
        <f>IF(F30="","",IF(Regn2!S36=2,"Nedm.",Regn2!BC36))</f>
        <v>3000</v>
      </c>
      <c r="S30" s="229" t="str">
        <f t="shared" si="7"/>
        <v>kg</v>
      </c>
      <c r="T30" s="229"/>
      <c r="U30" s="235">
        <f>IF(F30="","",Regn2!FR36)</f>
        <v>44.974519776536283</v>
      </c>
      <c r="V30" s="229" t="str">
        <f t="shared" si="8"/>
        <v>kg</v>
      </c>
      <c r="W30" s="229"/>
      <c r="X30" s="236">
        <f>IF(F30="","",Regn2!IC36)</f>
        <v>51.773220084389841</v>
      </c>
      <c r="Y30" s="229" t="str">
        <f t="shared" si="9"/>
        <v>kg</v>
      </c>
      <c r="Z30" s="229"/>
      <c r="AA30" s="235">
        <f>IF(F30="","",Regn2!IE36)</f>
        <v>65</v>
      </c>
      <c r="AB30" s="229" t="str">
        <f t="shared" si="10"/>
        <v>%</v>
      </c>
      <c r="AC30" s="229"/>
      <c r="AD30" s="235">
        <f>IF(F30="","",Regn2!IF36)</f>
        <v>18.120627029536447</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16-0</v>
      </c>
      <c r="C32" s="229"/>
      <c r="D32" s="229" t="str">
        <f>IF(ISERROR(VLOOKUP(Regn2!B38,Jordtype,2)),"",IF(F32="","",VLOOKUP(Regn2!B38,Jordtype,2)))</f>
        <v>JB 6</v>
      </c>
      <c r="E32" s="229"/>
      <c r="F32" s="229" t="str">
        <f>IF(OR(ISERROR(VLOOKUP(Regn2!R38,Afgr,2)),VLOOKUP(Regn2!R38,Afgr,2)=0),"",VLOOKUP(Regn2!R38,Afgr,2))</f>
        <v>Vårbyg, foder</v>
      </c>
      <c r="G32" s="229"/>
      <c r="H32" s="229" t="str">
        <f>IF(Regn2!T38&lt;=1,"",VLOOKUP(Regn2!T38,Efgr,2))</f>
        <v>Gul sennep E</v>
      </c>
      <c r="I32" s="229"/>
      <c r="J32" s="229" t="str">
        <f>IF(OR(ISERROR(VLOOKUP(Regn2!X38,Afgr,2)),VLOOKUP(Regn2!X38,Afgr,2)=0),"",VLOOKUP(Regn2!X38,Afgr,2))</f>
        <v>Vårbyg, foder</v>
      </c>
      <c r="K32" s="229"/>
      <c r="L32" s="234">
        <f>IF(Regn2!Z38=0,"",Regn2!Z38)</f>
        <v>0.72</v>
      </c>
      <c r="M32" s="234" t="str">
        <f t="shared" ref="M32:M94" si="12">IF(L32&lt;&gt;"","ha","")</f>
        <v>ha</v>
      </c>
      <c r="N32" s="229"/>
      <c r="O32" s="229">
        <f>IF(Regn2!AM38=0,"",Regn2!AM38)</f>
        <v>56</v>
      </c>
      <c r="P32" s="229" t="str">
        <f>IF(O32="","",Regn2!AO38)</f>
        <v>hkg</v>
      </c>
      <c r="Q32" s="229"/>
      <c r="R32" s="235">
        <f>IF(F32="","",IF(Regn2!S38=2,"Nedm.",Regn2!BC38))</f>
        <v>3000</v>
      </c>
      <c r="S32" s="229" t="str">
        <f t="shared" ref="S32:S94" si="13">IF(R32="","",IF(R32="Nedmuldet","","kg"))</f>
        <v>kg</v>
      </c>
      <c r="T32" s="229"/>
      <c r="U32" s="235">
        <f>IF(F32="","",Regn2!FR38)</f>
        <v>44.974519776536283</v>
      </c>
      <c r="V32" s="229" t="str">
        <f t="shared" ref="V32:V94" si="14">IF(U32&lt;&gt;"","kg","")</f>
        <v>kg</v>
      </c>
      <c r="W32" s="229"/>
      <c r="X32" s="236">
        <f>IF(F32="","",Regn2!IC38)</f>
        <v>19.752351201859803</v>
      </c>
      <c r="Y32" s="229" t="str">
        <f t="shared" ref="Y32:Y94" si="15">IF(X32&lt;&gt;"","kg","")</f>
        <v>kg</v>
      </c>
      <c r="Z32" s="229"/>
      <c r="AA32" s="235">
        <f>IF(F32="","",Regn2!IE38)</f>
        <v>65</v>
      </c>
      <c r="AB32" s="229" t="str">
        <f t="shared" ref="AB32:AB94" si="16">IF(AA32&lt;&gt;"","%","")</f>
        <v>%</v>
      </c>
      <c r="AC32" s="229"/>
      <c r="AD32" s="235">
        <f>IF(F32="","",Regn2!IF38)</f>
        <v>6.9133229206509306</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18-0</v>
      </c>
      <c r="C34" s="229"/>
      <c r="D34" s="229" t="str">
        <f>IF(ISERROR(VLOOKUP(Regn2!B40,Jordtype,2)),"",IF(F34="","",VLOOKUP(Regn2!B40,Jordtype,2)))</f>
        <v>JB 11</v>
      </c>
      <c r="E34" s="229"/>
      <c r="F34" s="229" t="str">
        <f>IF(OR(ISERROR(VLOOKUP(Regn2!R40,Afgr,2)),VLOOKUP(Regn2!R40,Afgr,2)=0),"",VLOOKUP(Regn2!R40,Afgr,2))</f>
        <v>Permanent græs</v>
      </c>
      <c r="G34" s="229"/>
      <c r="H34" s="229" t="str">
        <f>IF(Regn2!T40&lt;=1,"",VLOOKUP(Regn2!T40,Efgr,2))</f>
        <v/>
      </c>
      <c r="I34" s="229"/>
      <c r="J34" s="229" t="str">
        <f>IF(OR(ISERROR(VLOOKUP(Regn2!X40,Afgr,2)),VLOOKUP(Regn2!X40,Afgr,2)=0),"",VLOOKUP(Regn2!X40,Afgr,2))</f>
        <v>Permanent græs</v>
      </c>
      <c r="K34" s="229"/>
      <c r="L34" s="234">
        <f>IF(Regn2!Z40=0,"",Regn2!Z40)</f>
        <v>5.05</v>
      </c>
      <c r="M34" s="234" t="str">
        <f t="shared" si="12"/>
        <v>ha</v>
      </c>
      <c r="N34" s="229"/>
      <c r="O34" s="229">
        <f>IF(Regn2!AM40=0,"",Regn2!AM40)</f>
        <v>3000</v>
      </c>
      <c r="P34" s="229" t="str">
        <f>IF(O34="","",Regn2!AO40)</f>
        <v>FE</v>
      </c>
      <c r="Q34" s="229"/>
      <c r="R34" s="235">
        <f>IF(F34="","",IF(Regn2!S40=2,"Nedm.",Regn2!BC40))</f>
        <v>0</v>
      </c>
      <c r="S34" s="229" t="str">
        <f t="shared" si="13"/>
        <v>kg</v>
      </c>
      <c r="T34" s="229"/>
      <c r="U34" s="235">
        <f>IF(F34="","",Regn2!FR40)</f>
        <v>-10.951999999999984</v>
      </c>
      <c r="V34" s="229" t="str">
        <f t="shared" si="14"/>
        <v>kg</v>
      </c>
      <c r="W34" s="229"/>
      <c r="X34" s="236">
        <f>IF(F34="","",Regn2!IC40)</f>
        <v>1.1228840974698513</v>
      </c>
      <c r="Y34" s="229" t="str">
        <f t="shared" si="15"/>
        <v>kg</v>
      </c>
      <c r="Z34" s="229"/>
      <c r="AA34" s="235">
        <f>IF(F34="","",Regn2!IE40)</f>
        <v>65</v>
      </c>
      <c r="AB34" s="229" t="str">
        <f t="shared" si="16"/>
        <v>%</v>
      </c>
      <c r="AC34" s="229"/>
      <c r="AD34" s="235">
        <f>IF(F34="","",Regn2!IF40)</f>
        <v>0.393009434114448</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18-1</v>
      </c>
      <c r="C36" s="229"/>
      <c r="D36" s="229" t="str">
        <f>IF(ISERROR(VLOOKUP(Regn2!B42,Jordtype,2)),"",IF(F36="","",VLOOKUP(Regn2!B42,Jordtype,2)))</f>
        <v>JB 11</v>
      </c>
      <c r="E36" s="229"/>
      <c r="F36" s="229" t="str">
        <f>IF(OR(ISERROR(VLOOKUP(Regn2!R42,Afgr,2)),VLOOKUP(Regn2!R42,Afgr,2)=0),"",VLOOKUP(Regn2!R42,Afgr,2))</f>
        <v>Permanent græs</v>
      </c>
      <c r="G36" s="229"/>
      <c r="H36" s="229" t="str">
        <f>IF(Regn2!T42&lt;=1,"",VLOOKUP(Regn2!T42,Efgr,2))</f>
        <v/>
      </c>
      <c r="I36" s="229"/>
      <c r="J36" s="229" t="str">
        <f>IF(OR(ISERROR(VLOOKUP(Regn2!X42,Afgr,2)),VLOOKUP(Regn2!X42,Afgr,2)=0),"",VLOOKUP(Regn2!X42,Afgr,2))</f>
        <v>Permanent græs</v>
      </c>
      <c r="K36" s="229"/>
      <c r="L36" s="234">
        <f>IF(Regn2!Z42=0,"",Regn2!Z42)</f>
        <v>2.38</v>
      </c>
      <c r="M36" s="234" t="str">
        <f t="shared" si="12"/>
        <v>ha</v>
      </c>
      <c r="N36" s="229"/>
      <c r="O36" s="229">
        <f>IF(Regn2!AM42=0,"",Regn2!AM42)</f>
        <v>3000</v>
      </c>
      <c r="P36" s="229" t="str">
        <f>IF(O36="","",Regn2!AO42)</f>
        <v>FE</v>
      </c>
      <c r="Q36" s="229"/>
      <c r="R36" s="235">
        <f>IF(F36="","",IF(Regn2!S42=2,"Nedm.",Regn2!BC42))</f>
        <v>0</v>
      </c>
      <c r="S36" s="229" t="str">
        <f t="shared" si="13"/>
        <v>kg</v>
      </c>
      <c r="T36" s="229"/>
      <c r="U36" s="235">
        <f>IF(F36="","",Regn2!FR42)</f>
        <v>-10.951999999999984</v>
      </c>
      <c r="V36" s="229" t="str">
        <f t="shared" si="14"/>
        <v>kg</v>
      </c>
      <c r="W36" s="229"/>
      <c r="X36" s="236">
        <f>IF(F36="","",Regn2!IC42)</f>
        <v>1.1228840974698513</v>
      </c>
      <c r="Y36" s="229" t="str">
        <f t="shared" si="15"/>
        <v>kg</v>
      </c>
      <c r="Z36" s="229"/>
      <c r="AA36" s="235">
        <f>IF(F36="","",Regn2!IE42)</f>
        <v>65</v>
      </c>
      <c r="AB36" s="229" t="str">
        <f t="shared" si="16"/>
        <v>%</v>
      </c>
      <c r="AC36" s="229"/>
      <c r="AD36" s="235">
        <f>IF(F36="","",Regn2!IF42)</f>
        <v>0.393009434114448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19-0</v>
      </c>
      <c r="C38" s="229"/>
      <c r="D38" s="229" t="str">
        <f>IF(ISERROR(VLOOKUP(Regn2!B44,Jordtype,2)),"",IF(F38="","",VLOOKUP(Regn2!B44,Jordtype,2)))</f>
        <v>JB 11</v>
      </c>
      <c r="E38" s="229"/>
      <c r="F38" s="229" t="str">
        <f>IF(OR(ISERROR(VLOOKUP(Regn2!R44,Afgr,2)),VLOOKUP(Regn2!R44,Afgr,2)=0),"",VLOOKUP(Regn2!R44,Afgr,2))</f>
        <v>Permanent græs</v>
      </c>
      <c r="G38" s="229"/>
      <c r="H38" s="229" t="str">
        <f>IF(Regn2!T44&lt;=1,"",VLOOKUP(Regn2!T44,Efgr,2))</f>
        <v/>
      </c>
      <c r="I38" s="229"/>
      <c r="J38" s="229" t="str">
        <f>IF(OR(ISERROR(VLOOKUP(Regn2!X44,Afgr,2)),VLOOKUP(Regn2!X44,Afgr,2)=0),"",VLOOKUP(Regn2!X44,Afgr,2))</f>
        <v>Permanent græs</v>
      </c>
      <c r="K38" s="229"/>
      <c r="L38" s="234">
        <f>IF(Regn2!Z44=0,"",Regn2!Z44)</f>
        <v>1.1100000000000001</v>
      </c>
      <c r="M38" s="234" t="str">
        <f t="shared" si="12"/>
        <v>ha</v>
      </c>
      <c r="N38" s="229"/>
      <c r="O38" s="229">
        <f>IF(Regn2!AM44=0,"",Regn2!AM44)</f>
        <v>3000</v>
      </c>
      <c r="P38" s="229" t="str">
        <f>IF(O38="","",Regn2!AO44)</f>
        <v>FE</v>
      </c>
      <c r="Q38" s="229"/>
      <c r="R38" s="235">
        <f>IF(F38="","",IF(Regn2!S44=2,"Nedm.",Regn2!BC44))</f>
        <v>0</v>
      </c>
      <c r="S38" s="229" t="str">
        <f t="shared" si="13"/>
        <v>kg</v>
      </c>
      <c r="T38" s="229"/>
      <c r="U38" s="235">
        <f>IF(F38="","",Regn2!FR44)</f>
        <v>-10.951999999999984</v>
      </c>
      <c r="V38" s="229" t="str">
        <f t="shared" si="14"/>
        <v>kg</v>
      </c>
      <c r="W38" s="229"/>
      <c r="X38" s="236">
        <f>IF(F38="","",Regn2!IC44)</f>
        <v>1.1228840974698513</v>
      </c>
      <c r="Y38" s="229" t="str">
        <f t="shared" si="15"/>
        <v>kg</v>
      </c>
      <c r="Z38" s="229"/>
      <c r="AA38" s="235">
        <f>IF(F38="","",Regn2!IE44)</f>
        <v>65</v>
      </c>
      <c r="AB38" s="229" t="str">
        <f t="shared" si="16"/>
        <v>%</v>
      </c>
      <c r="AC38" s="229"/>
      <c r="AD38" s="235">
        <f>IF(F38="","",Regn2!IF44)</f>
        <v>0.393009434114448</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t="str">
        <f>Regn2!A46</f>
        <v>20-0</v>
      </c>
      <c r="C40" s="229"/>
      <c r="D40" s="229" t="str">
        <f>IF(ISERROR(VLOOKUP(Regn2!B46,Jordtype,2)),"",IF(F40="","",VLOOKUP(Regn2!B46,Jordtype,2)))</f>
        <v>JB 11</v>
      </c>
      <c r="E40" s="229"/>
      <c r="F40" s="229" t="str">
        <f>IF(OR(ISERROR(VLOOKUP(Regn2!R46,Afgr,2)),VLOOKUP(Regn2!R46,Afgr,2)=0),"",VLOOKUP(Regn2!R46,Afgr,2))</f>
        <v>Vårbyg, foder</v>
      </c>
      <c r="G40" s="229"/>
      <c r="H40" s="229" t="str">
        <f>IF(Regn2!T46&lt;=1,"",VLOOKUP(Regn2!T46,Efgr,2))</f>
        <v/>
      </c>
      <c r="I40" s="229"/>
      <c r="J40" s="229" t="str">
        <f>IF(OR(ISERROR(VLOOKUP(Regn2!X46,Afgr,2)),VLOOKUP(Regn2!X46,Afgr,2)=0),"",VLOOKUP(Regn2!X46,Afgr,2))</f>
        <v>Vinterhvede</v>
      </c>
      <c r="K40" s="229"/>
      <c r="L40" s="234">
        <f>IF(Regn2!Z46=0,"",Regn2!Z46)</f>
        <v>3.21</v>
      </c>
      <c r="M40" s="234" t="str">
        <f t="shared" si="12"/>
        <v>ha</v>
      </c>
      <c r="N40" s="229"/>
      <c r="O40" s="229">
        <f>IF(Regn2!AM46=0,"",Regn2!AM46)</f>
        <v>44</v>
      </c>
      <c r="P40" s="229" t="str">
        <f>IF(O40="","",Regn2!AO46)</f>
        <v>hkg</v>
      </c>
      <c r="Q40" s="229"/>
      <c r="R40" s="235">
        <f>IF(F40="","",IF(Regn2!S46=2,"Nedm.",Regn2!BC46))</f>
        <v>2500</v>
      </c>
      <c r="S40" s="229" t="str">
        <f t="shared" si="13"/>
        <v>kg</v>
      </c>
      <c r="T40" s="229"/>
      <c r="U40" s="235">
        <f>IF(F40="","",Regn2!FR46)</f>
        <v>61.831856536312813</v>
      </c>
      <c r="V40" s="229" t="str">
        <f t="shared" si="14"/>
        <v>kg</v>
      </c>
      <c r="W40" s="229"/>
      <c r="X40" s="236">
        <f>IF(F40="","",Regn2!IC46)</f>
        <v>5.8145458536090207</v>
      </c>
      <c r="Y40" s="229" t="str">
        <f t="shared" si="15"/>
        <v>kg</v>
      </c>
      <c r="Z40" s="229"/>
      <c r="AA40" s="235">
        <f>IF(F40="","",Regn2!IE46)</f>
        <v>65</v>
      </c>
      <c r="AB40" s="229" t="str">
        <f t="shared" si="16"/>
        <v>%</v>
      </c>
      <c r="AC40" s="229"/>
      <c r="AD40" s="235">
        <f>IF(F40="","",Regn2!IF46)</f>
        <v>2.0350910487631571</v>
      </c>
      <c r="AE40" s="229" t="str">
        <f t="shared" si="17"/>
        <v>kg</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t="str">
        <f>Regn2!A48</f>
        <v>21-0</v>
      </c>
      <c r="C42" s="229"/>
      <c r="D42" s="229" t="str">
        <f>IF(ISERROR(VLOOKUP(Regn2!B48,Jordtype,2)),"",IF(F42="","",VLOOKUP(Regn2!B48,Jordtype,2)))</f>
        <v>JB 11</v>
      </c>
      <c r="E42" s="229"/>
      <c r="F42" s="229" t="str">
        <f>IF(OR(ISERROR(VLOOKUP(Regn2!R48,Afgr,2)),VLOOKUP(Regn2!R48,Afgr,2)=0),"",VLOOKUP(Regn2!R48,Afgr,2))</f>
        <v>Kløvergræs, 4 slæt</v>
      </c>
      <c r="G42" s="229"/>
      <c r="H42" s="229" t="str">
        <f>IF(Regn2!T48&lt;=1,"",VLOOKUP(Regn2!T48,Efgr,2))</f>
        <v/>
      </c>
      <c r="I42" s="229"/>
      <c r="J42" s="229" t="str">
        <f>IF(OR(ISERROR(VLOOKUP(Regn2!X48,Afgr,2)),VLOOKUP(Regn2!X48,Afgr,2)=0),"",VLOOKUP(Regn2!X48,Afgr,2))</f>
        <v>Kløvergræs, 4 slæt</v>
      </c>
      <c r="K42" s="229"/>
      <c r="L42" s="234">
        <f>IF(Regn2!Z48=0,"",Regn2!Z48)</f>
        <v>1.7</v>
      </c>
      <c r="M42" s="234" t="str">
        <f t="shared" si="12"/>
        <v>ha</v>
      </c>
      <c r="N42" s="229"/>
      <c r="O42" s="229">
        <f>IF(Regn2!AM48=0,"",Regn2!AM48)</f>
        <v>7100</v>
      </c>
      <c r="P42" s="229" t="str">
        <f>IF(O42="","",Regn2!AO48)</f>
        <v>FE</v>
      </c>
      <c r="Q42" s="229"/>
      <c r="R42" s="235">
        <f>IF(F42="","",IF(Regn2!S48=2,"Nedm.",Regn2!BC48))</f>
        <v>0</v>
      </c>
      <c r="S42" s="229" t="str">
        <f t="shared" si="13"/>
        <v>kg</v>
      </c>
      <c r="T42" s="229"/>
      <c r="U42" s="235">
        <f>IF(F42="","",Regn2!FR48)</f>
        <v>73.111541159999973</v>
      </c>
      <c r="V42" s="229" t="str">
        <f t="shared" si="14"/>
        <v>kg</v>
      </c>
      <c r="W42" s="229"/>
      <c r="X42" s="236">
        <f>IF(F42="","",Regn2!IC48)</f>
        <v>1.9583215723396705</v>
      </c>
      <c r="Y42" s="229" t="str">
        <f t="shared" si="15"/>
        <v>kg</v>
      </c>
      <c r="Z42" s="229"/>
      <c r="AA42" s="235">
        <f>IF(F42="","",Regn2!IE48)</f>
        <v>65</v>
      </c>
      <c r="AB42" s="229" t="str">
        <f t="shared" si="16"/>
        <v>%</v>
      </c>
      <c r="AC42" s="229"/>
      <c r="AD42" s="235">
        <f>IF(F42="","",Regn2!IF48)</f>
        <v>0.68541255031888471</v>
      </c>
      <c r="AE42" s="229" t="str">
        <f t="shared" si="17"/>
        <v>kg</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t="str">
        <f>Regn2!A50</f>
        <v>21-1</v>
      </c>
      <c r="C44" s="229"/>
      <c r="D44" s="229" t="str">
        <f>IF(ISERROR(VLOOKUP(Regn2!B50,Jordtype,2)),"",IF(F44="","",VLOOKUP(Regn2!B50,Jordtype,2)))</f>
        <v>JB 11</v>
      </c>
      <c r="E44" s="229"/>
      <c r="F44" s="229" t="str">
        <f>IF(OR(ISERROR(VLOOKUP(Regn2!R50,Afgr,2)),VLOOKUP(Regn2!R50,Afgr,2)=0),"",VLOOKUP(Regn2!R50,Afgr,2))</f>
        <v>Permanent græs (0N)</v>
      </c>
      <c r="G44" s="229"/>
      <c r="H44" s="229" t="str">
        <f>IF(Regn2!T50&lt;=1,"",VLOOKUP(Regn2!T50,Efgr,2))</f>
        <v/>
      </c>
      <c r="I44" s="229"/>
      <c r="J44" s="229" t="str">
        <f>IF(OR(ISERROR(VLOOKUP(Regn2!X50,Afgr,2)),VLOOKUP(Regn2!X50,Afgr,2)=0),"",VLOOKUP(Regn2!X50,Afgr,2))</f>
        <v>Permanent græs (0N)</v>
      </c>
      <c r="K44" s="229"/>
      <c r="L44" s="234">
        <f>IF(Regn2!Z50=0,"",Regn2!Z50)</f>
        <v>0.4</v>
      </c>
      <c r="M44" s="234" t="str">
        <f t="shared" si="12"/>
        <v>ha</v>
      </c>
      <c r="N44" s="229"/>
      <c r="O44" s="229" t="str">
        <f>IF(Regn2!AM50=0,"",Regn2!AM50)</f>
        <v/>
      </c>
      <c r="P44" s="229" t="str">
        <f>IF(O44="","",Regn2!AO50)</f>
        <v/>
      </c>
      <c r="Q44" s="229"/>
      <c r="R44" s="235">
        <f>IF(F44="","",IF(Regn2!S50=2,"Nedm.",Regn2!BC50))</f>
        <v>0</v>
      </c>
      <c r="S44" s="229" t="str">
        <f t="shared" si="13"/>
        <v>kg</v>
      </c>
      <c r="T44" s="229"/>
      <c r="U44" s="235">
        <f>IF(F44="","",Regn2!FR50)</f>
        <v>15</v>
      </c>
      <c r="V44" s="229" t="str">
        <f t="shared" si="14"/>
        <v>kg</v>
      </c>
      <c r="W44" s="229"/>
      <c r="X44" s="236">
        <f>IF(F44="","",Regn2!IC50)</f>
        <v>1.1433249158407519</v>
      </c>
      <c r="Y44" s="229" t="str">
        <f t="shared" si="15"/>
        <v>kg</v>
      </c>
      <c r="Z44" s="229"/>
      <c r="AA44" s="235">
        <f>IF(F44="","",Regn2!IE50)</f>
        <v>65</v>
      </c>
      <c r="AB44" s="229" t="str">
        <f t="shared" si="16"/>
        <v>%</v>
      </c>
      <c r="AC44" s="229"/>
      <c r="AD44" s="235">
        <f>IF(F44="","",Regn2!IF50)</f>
        <v>0.40016372054426319</v>
      </c>
      <c r="AE44" s="229" t="str">
        <f t="shared" si="17"/>
        <v>kg</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t="str">
        <f>Regn2!A52</f>
        <v>21-2</v>
      </c>
      <c r="C46" s="229"/>
      <c r="D46" s="229" t="str">
        <f>IF(ISERROR(VLOOKUP(Regn2!B52,Jordtype,2)),"",IF(F46="","",VLOOKUP(Regn2!B52,Jordtype,2)))</f>
        <v>JB 11</v>
      </c>
      <c r="E46" s="229"/>
      <c r="F46" s="229" t="str">
        <f>IF(OR(ISERROR(VLOOKUP(Regn2!R52,Afgr,2)),VLOOKUP(Regn2!R52,Afgr,2)=0),"",VLOOKUP(Regn2!R52,Afgr,2))</f>
        <v>Vårbyg, foder</v>
      </c>
      <c r="G46" s="229"/>
      <c r="H46" s="229" t="str">
        <f>IF(Regn2!T52&lt;=1,"",VLOOKUP(Regn2!T52,Efgr,2))</f>
        <v/>
      </c>
      <c r="I46" s="229"/>
      <c r="J46" s="229" t="str">
        <f>IF(OR(ISERROR(VLOOKUP(Regn2!X52,Afgr,2)),VLOOKUP(Regn2!X52,Afgr,2)=0),"",VLOOKUP(Regn2!X52,Afgr,2))</f>
        <v>Vinterhvede</v>
      </c>
      <c r="K46" s="229"/>
      <c r="L46" s="234">
        <f>IF(Regn2!Z52=0,"",Regn2!Z52)</f>
        <v>3.13</v>
      </c>
      <c r="M46" s="234" t="str">
        <f t="shared" si="12"/>
        <v>ha</v>
      </c>
      <c r="N46" s="229"/>
      <c r="O46" s="229">
        <f>IF(Regn2!AM52=0,"",Regn2!AM52)</f>
        <v>44</v>
      </c>
      <c r="P46" s="229" t="str">
        <f>IF(O46="","",Regn2!AO52)</f>
        <v>hkg</v>
      </c>
      <c r="Q46" s="229"/>
      <c r="R46" s="235">
        <f>IF(F46="","",IF(Regn2!S52=2,"Nedm.",Regn2!BC52))</f>
        <v>2500</v>
      </c>
      <c r="S46" s="229" t="str">
        <f t="shared" si="13"/>
        <v>kg</v>
      </c>
      <c r="T46" s="229"/>
      <c r="U46" s="235">
        <f>IF(F46="","",Regn2!FR52)</f>
        <v>59.383978100558636</v>
      </c>
      <c r="V46" s="229" t="str">
        <f t="shared" si="14"/>
        <v>kg</v>
      </c>
      <c r="W46" s="229"/>
      <c r="X46" s="236">
        <f>IF(F46="","",Regn2!IC52)</f>
        <v>6.7065637626208936</v>
      </c>
      <c r="Y46" s="229" t="str">
        <f t="shared" si="15"/>
        <v>kg</v>
      </c>
      <c r="Z46" s="229"/>
      <c r="AA46" s="235">
        <f>IF(F46="","",Regn2!IE52)</f>
        <v>65</v>
      </c>
      <c r="AB46" s="229" t="str">
        <f t="shared" si="16"/>
        <v>%</v>
      </c>
      <c r="AC46" s="229"/>
      <c r="AD46" s="235">
        <f>IF(F46="","",Regn2!IF52)</f>
        <v>2.3472973169173126</v>
      </c>
      <c r="AE46" s="229" t="str">
        <f t="shared" si="17"/>
        <v>kg</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t="str">
        <f>Regn2!A54</f>
        <v>22-0</v>
      </c>
      <c r="C48" s="229"/>
      <c r="D48" s="229" t="str">
        <f>IF(ISERROR(VLOOKUP(Regn2!B54,Jordtype,2)),"",IF(F48="","",VLOOKUP(Regn2!B54,Jordtype,2)))</f>
        <v>JB 11</v>
      </c>
      <c r="E48" s="229"/>
      <c r="F48" s="229" t="str">
        <f>IF(OR(ISERROR(VLOOKUP(Regn2!R54,Afgr,2)),VLOOKUP(Regn2!R54,Afgr,2)=0),"",VLOOKUP(Regn2!R54,Afgr,2))</f>
        <v>Permanent græs</v>
      </c>
      <c r="G48" s="229"/>
      <c r="H48" s="229" t="str">
        <f>IF(Regn2!T54&lt;=1,"",VLOOKUP(Regn2!T54,Efgr,2))</f>
        <v/>
      </c>
      <c r="I48" s="229"/>
      <c r="J48" s="229" t="str">
        <f>IF(OR(ISERROR(VLOOKUP(Regn2!X54,Afgr,2)),VLOOKUP(Regn2!X54,Afgr,2)=0),"",VLOOKUP(Regn2!X54,Afgr,2))</f>
        <v>Permanent græs</v>
      </c>
      <c r="K48" s="229"/>
      <c r="L48" s="234">
        <f>IF(Regn2!Z54=0,"",Regn2!Z54)</f>
        <v>1.48</v>
      </c>
      <c r="M48" s="234" t="str">
        <f t="shared" si="12"/>
        <v>ha</v>
      </c>
      <c r="N48" s="229"/>
      <c r="O48" s="229">
        <f>IF(Regn2!AM54=0,"",Regn2!AM54)</f>
        <v>3000</v>
      </c>
      <c r="P48" s="229" t="str">
        <f>IF(O48="","",Regn2!AO54)</f>
        <v>FE</v>
      </c>
      <c r="Q48" s="229"/>
      <c r="R48" s="235">
        <f>IF(F48="","",IF(Regn2!S54=2,"Nedm.",Regn2!BC54))</f>
        <v>0</v>
      </c>
      <c r="S48" s="229" t="str">
        <f t="shared" si="13"/>
        <v>kg</v>
      </c>
      <c r="T48" s="229"/>
      <c r="U48" s="235">
        <f>IF(F48="","",Regn2!FR54)</f>
        <v>-10.951999999999984</v>
      </c>
      <c r="V48" s="229" t="str">
        <f t="shared" si="14"/>
        <v>kg</v>
      </c>
      <c r="W48" s="229"/>
      <c r="X48" s="236">
        <f>IF(F48="","",Regn2!IC54)</f>
        <v>1.1228840974698513</v>
      </c>
      <c r="Y48" s="229" t="str">
        <f t="shared" si="15"/>
        <v>kg</v>
      </c>
      <c r="Z48" s="229"/>
      <c r="AA48" s="235">
        <f>IF(F48="","",Regn2!IE54)</f>
        <v>65</v>
      </c>
      <c r="AB48" s="229" t="str">
        <f t="shared" si="16"/>
        <v>%</v>
      </c>
      <c r="AC48" s="229"/>
      <c r="AD48" s="235">
        <f>IF(F48="","",Regn2!IF54)</f>
        <v>0.393009434114448</v>
      </c>
      <c r="AE48" s="229" t="str">
        <f t="shared" si="17"/>
        <v>kg</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t="str">
        <f>Regn2!A56</f>
        <v>22-1</v>
      </c>
      <c r="C50" s="229"/>
      <c r="D50" s="229" t="str">
        <f>IF(ISERROR(VLOOKUP(Regn2!B56,Jordtype,2)),"",IF(F50="","",VLOOKUP(Regn2!B56,Jordtype,2)))</f>
        <v>JB 11</v>
      </c>
      <c r="E50" s="229"/>
      <c r="F50" s="229" t="str">
        <f>IF(OR(ISERROR(VLOOKUP(Regn2!R56,Afgr,2)),VLOOKUP(Regn2!R56,Afgr,2)=0),"",VLOOKUP(Regn2!R56,Afgr,2))</f>
        <v>Permanent græs</v>
      </c>
      <c r="G50" s="229"/>
      <c r="H50" s="229" t="str">
        <f>IF(Regn2!T56&lt;=1,"",VLOOKUP(Regn2!T56,Efgr,2))</f>
        <v/>
      </c>
      <c r="I50" s="229"/>
      <c r="J50" s="229" t="str">
        <f>IF(OR(ISERROR(VLOOKUP(Regn2!X56,Afgr,2)),VLOOKUP(Regn2!X56,Afgr,2)=0),"",VLOOKUP(Regn2!X56,Afgr,2))</f>
        <v>Permanent græs</v>
      </c>
      <c r="K50" s="229"/>
      <c r="L50" s="234">
        <f>IF(Regn2!Z56=0,"",Regn2!Z56)</f>
        <v>1.97</v>
      </c>
      <c r="M50" s="234" t="str">
        <f t="shared" si="12"/>
        <v>ha</v>
      </c>
      <c r="N50" s="229"/>
      <c r="O50" s="229">
        <f>IF(Regn2!AM56=0,"",Regn2!AM56)</f>
        <v>3000</v>
      </c>
      <c r="P50" s="229" t="str">
        <f>IF(O50="","",Regn2!AO56)</f>
        <v>FE</v>
      </c>
      <c r="Q50" s="229"/>
      <c r="R50" s="235">
        <f>IF(F50="","",IF(Regn2!S56=2,"Nedm.",Regn2!BC56))</f>
        <v>0</v>
      </c>
      <c r="S50" s="229" t="str">
        <f t="shared" si="13"/>
        <v>kg</v>
      </c>
      <c r="T50" s="229"/>
      <c r="U50" s="235">
        <f>IF(F50="","",Regn2!FR56)</f>
        <v>-10.951999999999984</v>
      </c>
      <c r="V50" s="229" t="str">
        <f t="shared" si="14"/>
        <v>kg</v>
      </c>
      <c r="W50" s="229"/>
      <c r="X50" s="236">
        <f>IF(F50="","",Regn2!IC56)</f>
        <v>1.1228840974698513</v>
      </c>
      <c r="Y50" s="229" t="str">
        <f t="shared" si="15"/>
        <v>kg</v>
      </c>
      <c r="Z50" s="229"/>
      <c r="AA50" s="235">
        <f>IF(F50="","",Regn2!IE56)</f>
        <v>65</v>
      </c>
      <c r="AB50" s="229" t="str">
        <f t="shared" si="16"/>
        <v>%</v>
      </c>
      <c r="AC50" s="229"/>
      <c r="AD50" s="235">
        <f>IF(F50="","",Regn2!IF56)</f>
        <v>0.393009434114448</v>
      </c>
      <c r="AE50" s="229" t="str">
        <f t="shared" si="17"/>
        <v>kg</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t="str">
        <f>Regn2!A58</f>
        <v>22-2</v>
      </c>
      <c r="C52" s="229"/>
      <c r="D52" s="229" t="str">
        <f>IF(ISERROR(VLOOKUP(Regn2!B58,Jordtype,2)),"",IF(F52="","",VLOOKUP(Regn2!B58,Jordtype,2)))</f>
        <v>JB 11</v>
      </c>
      <c r="E52" s="229"/>
      <c r="F52" s="229" t="str">
        <f>IF(OR(ISERROR(VLOOKUP(Regn2!R58,Afgr,2)),VLOOKUP(Regn2!R58,Afgr,2)=0),"",VLOOKUP(Regn2!R58,Afgr,2))</f>
        <v>Permanent græs</v>
      </c>
      <c r="G52" s="229"/>
      <c r="H52" s="229" t="str">
        <f>IF(Regn2!T58&lt;=1,"",VLOOKUP(Regn2!T58,Efgr,2))</f>
        <v/>
      </c>
      <c r="I52" s="229"/>
      <c r="J52" s="229" t="str">
        <f>IF(OR(ISERROR(VLOOKUP(Regn2!X58,Afgr,2)),VLOOKUP(Regn2!X58,Afgr,2)=0),"",VLOOKUP(Regn2!X58,Afgr,2))</f>
        <v>Permanent græs</v>
      </c>
      <c r="K52" s="229"/>
      <c r="L52" s="234">
        <f>IF(Regn2!Z58=0,"",Regn2!Z58)</f>
        <v>0.98</v>
      </c>
      <c r="M52" s="234" t="str">
        <f t="shared" si="12"/>
        <v>ha</v>
      </c>
      <c r="N52" s="229"/>
      <c r="O52" s="229">
        <f>IF(Regn2!AM58=0,"",Regn2!AM58)</f>
        <v>3000</v>
      </c>
      <c r="P52" s="229" t="str">
        <f>IF(O52="","",Regn2!AO58)</f>
        <v>FE</v>
      </c>
      <c r="Q52" s="229"/>
      <c r="R52" s="235">
        <f>IF(F52="","",IF(Regn2!S58=2,"Nedm.",Regn2!BC58))</f>
        <v>0</v>
      </c>
      <c r="S52" s="229" t="str">
        <f t="shared" si="13"/>
        <v>kg</v>
      </c>
      <c r="T52" s="229"/>
      <c r="U52" s="235">
        <f>IF(F52="","",Regn2!FR58)</f>
        <v>-10.951999999999984</v>
      </c>
      <c r="V52" s="229" t="str">
        <f t="shared" si="14"/>
        <v>kg</v>
      </c>
      <c r="W52" s="229"/>
      <c r="X52" s="236">
        <f>IF(F52="","",Regn2!IC58)</f>
        <v>1.1228840974698513</v>
      </c>
      <c r="Y52" s="229" t="str">
        <f t="shared" si="15"/>
        <v>kg</v>
      </c>
      <c r="Z52" s="229"/>
      <c r="AA52" s="235">
        <f>IF(F52="","",Regn2!IE58)</f>
        <v>65</v>
      </c>
      <c r="AB52" s="229" t="str">
        <f t="shared" si="16"/>
        <v>%</v>
      </c>
      <c r="AC52" s="229"/>
      <c r="AD52" s="235">
        <f>IF(F52="","",Regn2!IF58)</f>
        <v>0.393009434114448</v>
      </c>
      <c r="AE52" s="229" t="str">
        <f t="shared" si="17"/>
        <v>kg</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t="str">
        <f>Regn2!A60</f>
        <v>23-0</v>
      </c>
      <c r="C54" s="229"/>
      <c r="D54" s="229" t="str">
        <f>IF(ISERROR(VLOOKUP(Regn2!B60,Jordtype,2)),"",IF(F54="","",VLOOKUP(Regn2!B60,Jordtype,2)))</f>
        <v>JB 11</v>
      </c>
      <c r="E54" s="229"/>
      <c r="F54" s="229" t="str">
        <f>IF(OR(ISERROR(VLOOKUP(Regn2!R60,Afgr,2)),VLOOKUP(Regn2!R60,Afgr,2)=0),"",VLOOKUP(Regn2!R60,Afgr,2))</f>
        <v>Kløvergræs, 4 slæt</v>
      </c>
      <c r="G54" s="229"/>
      <c r="H54" s="229" t="str">
        <f>IF(Regn2!T60&lt;=1,"",VLOOKUP(Regn2!T60,Efgr,2))</f>
        <v/>
      </c>
      <c r="I54" s="229"/>
      <c r="J54" s="229" t="str">
        <f>IF(OR(ISERROR(VLOOKUP(Regn2!X60,Afgr,2)),VLOOKUP(Regn2!X60,Afgr,2)=0),"",VLOOKUP(Regn2!X60,Afgr,2))</f>
        <v>Kløvergræs, 4 slæt</v>
      </c>
      <c r="K54" s="229"/>
      <c r="L54" s="234">
        <f>IF(Regn2!Z60=0,"",Regn2!Z60)</f>
        <v>1.34</v>
      </c>
      <c r="M54" s="234" t="str">
        <f t="shared" si="12"/>
        <v>ha</v>
      </c>
      <c r="N54" s="229"/>
      <c r="O54" s="229">
        <f>IF(Regn2!AM60=0,"",Regn2!AM60)</f>
        <v>7100</v>
      </c>
      <c r="P54" s="229" t="str">
        <f>IF(O54="","",Regn2!AO60)</f>
        <v>FE</v>
      </c>
      <c r="Q54" s="229"/>
      <c r="R54" s="235">
        <f>IF(F54="","",IF(Regn2!S60=2,"Nedm.",Regn2!BC60))</f>
        <v>0</v>
      </c>
      <c r="S54" s="229" t="str">
        <f t="shared" si="13"/>
        <v>kg</v>
      </c>
      <c r="T54" s="229"/>
      <c r="U54" s="235">
        <f>IF(F54="","",Regn2!FR60)</f>
        <v>73.111541159999973</v>
      </c>
      <c r="V54" s="229" t="str">
        <f t="shared" si="14"/>
        <v>kg</v>
      </c>
      <c r="W54" s="229"/>
      <c r="X54" s="236">
        <f>IF(F54="","",Regn2!IC60)</f>
        <v>1.9583215723396705</v>
      </c>
      <c r="Y54" s="229" t="str">
        <f t="shared" si="15"/>
        <v>kg</v>
      </c>
      <c r="Z54" s="229"/>
      <c r="AA54" s="235">
        <f>IF(F54="","",Regn2!IE60)</f>
        <v>65</v>
      </c>
      <c r="AB54" s="229" t="str">
        <f t="shared" si="16"/>
        <v>%</v>
      </c>
      <c r="AC54" s="229"/>
      <c r="AD54" s="235">
        <f>IF(F54="","",Regn2!IF60)</f>
        <v>0.68541255031888471</v>
      </c>
      <c r="AE54" s="229" t="str">
        <f t="shared" si="17"/>
        <v>kg</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t="str">
        <f>Regn2!A62</f>
        <v>31-0</v>
      </c>
      <c r="C56" s="229"/>
      <c r="D56" s="229" t="str">
        <f>IF(ISERROR(VLOOKUP(Regn2!B62,Jordtype,2)),"",IF(F56="","",VLOOKUP(Regn2!B62,Jordtype,2)))</f>
        <v>JB 6</v>
      </c>
      <c r="E56" s="229"/>
      <c r="F56" s="229" t="str">
        <f>IF(OR(ISERROR(VLOOKUP(Regn2!R62,Afgr,2)),VLOOKUP(Regn2!R62,Afgr,2)=0),"",VLOOKUP(Regn2!R62,Afgr,2))</f>
        <v>Vinterhvede</v>
      </c>
      <c r="G56" s="229"/>
      <c r="H56" s="229" t="str">
        <f>IF(Regn2!T62&lt;=1,"",VLOOKUP(Regn2!T62,Efgr,2))</f>
        <v/>
      </c>
      <c r="I56" s="229"/>
      <c r="J56" s="229" t="str">
        <f>IF(OR(ISERROR(VLOOKUP(Regn2!X62,Afgr,2)),VLOOKUP(Regn2!X62,Afgr,2)=0),"",VLOOKUP(Regn2!X62,Afgr,2))</f>
        <v>Vårbyg, foder</v>
      </c>
      <c r="K56" s="229"/>
      <c r="L56" s="234">
        <f>IF(Regn2!Z62=0,"",Regn2!Z62)</f>
        <v>12.52</v>
      </c>
      <c r="M56" s="234" t="str">
        <f t="shared" si="12"/>
        <v>ha</v>
      </c>
      <c r="N56" s="229"/>
      <c r="O56" s="229">
        <f>IF(Regn2!AM62=0,"",Regn2!AM62)</f>
        <v>81</v>
      </c>
      <c r="P56" s="229" t="str">
        <f>IF(O56="","",Regn2!AO62)</f>
        <v>hkg</v>
      </c>
      <c r="Q56" s="229"/>
      <c r="R56" s="235">
        <f>IF(F56="","",IF(Regn2!S62=2,"Nedm.",Regn2!BC62))</f>
        <v>4700</v>
      </c>
      <c r="S56" s="229" t="str">
        <f t="shared" si="13"/>
        <v>kg</v>
      </c>
      <c r="T56" s="229"/>
      <c r="U56" s="235">
        <f>IF(F56="","",Regn2!FR62)</f>
        <v>82.964840954254797</v>
      </c>
      <c r="V56" s="229" t="str">
        <f t="shared" si="14"/>
        <v>kg</v>
      </c>
      <c r="W56" s="229"/>
      <c r="X56" s="236">
        <f>IF(F56="","",Regn2!IC62)</f>
        <v>55.736748499446193</v>
      </c>
      <c r="Y56" s="229" t="str">
        <f t="shared" si="15"/>
        <v>kg</v>
      </c>
      <c r="Z56" s="229"/>
      <c r="AA56" s="235">
        <f>IF(F56="","",Regn2!IE62)</f>
        <v>65</v>
      </c>
      <c r="AB56" s="229" t="str">
        <f t="shared" si="16"/>
        <v>%</v>
      </c>
      <c r="AC56" s="229"/>
      <c r="AD56" s="235">
        <f>IF(F56="","",Regn2!IF62)</f>
        <v>19.507861974806168</v>
      </c>
      <c r="AE56" s="229" t="str">
        <f t="shared" si="17"/>
        <v>kg</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t="str">
        <f>Regn2!A64</f>
        <v>33-0</v>
      </c>
      <c r="C58" s="229"/>
      <c r="D58" s="229" t="str">
        <f>IF(ISERROR(VLOOKUP(Regn2!B64,Jordtype,2)),"",IF(F58="","",VLOOKUP(Regn2!B64,Jordtype,2)))</f>
        <v>JB 11</v>
      </c>
      <c r="E58" s="229"/>
      <c r="F58" s="229" t="str">
        <f>IF(OR(ISERROR(VLOOKUP(Regn2!R64,Afgr,2)),VLOOKUP(Regn2!R64,Afgr,2)=0),"",VLOOKUP(Regn2!R64,Afgr,2))</f>
        <v>Kløvergræs, 4 slæt</v>
      </c>
      <c r="G58" s="229"/>
      <c r="H58" s="229" t="str">
        <f>IF(Regn2!T64&lt;=1,"",VLOOKUP(Regn2!T64,Efgr,2))</f>
        <v/>
      </c>
      <c r="I58" s="229"/>
      <c r="J58" s="229" t="str">
        <f>IF(OR(ISERROR(VLOOKUP(Regn2!X64,Afgr,2)),VLOOKUP(Regn2!X64,Afgr,2)=0),"",VLOOKUP(Regn2!X64,Afgr,2))</f>
        <v>Kløvergræs, 4 slæt</v>
      </c>
      <c r="K58" s="229"/>
      <c r="L58" s="234">
        <f>IF(Regn2!Z64=0,"",Regn2!Z64)</f>
        <v>0.92</v>
      </c>
      <c r="M58" s="234" t="str">
        <f t="shared" si="12"/>
        <v>ha</v>
      </c>
      <c r="N58" s="229"/>
      <c r="O58" s="229">
        <f>IF(Regn2!AM64=0,"",Regn2!AM64)</f>
        <v>7100</v>
      </c>
      <c r="P58" s="229" t="str">
        <f>IF(O58="","",Regn2!AO64)</f>
        <v>FE</v>
      </c>
      <c r="Q58" s="229"/>
      <c r="R58" s="235">
        <f>IF(F58="","",IF(Regn2!S64=2,"Nedm.",Regn2!BC64))</f>
        <v>0</v>
      </c>
      <c r="S58" s="229" t="str">
        <f t="shared" si="13"/>
        <v>kg</v>
      </c>
      <c r="T58" s="229"/>
      <c r="U58" s="235">
        <f>IF(F58="","",Regn2!FR64)</f>
        <v>-20.102399999999989</v>
      </c>
      <c r="V58" s="229" t="str">
        <f t="shared" si="14"/>
        <v>kg</v>
      </c>
      <c r="W58" s="229"/>
      <c r="X58" s="236">
        <f>IF(F58="","",Regn2!IC64)</f>
        <v>1.7107880085107603</v>
      </c>
      <c r="Y58" s="229" t="str">
        <f t="shared" si="15"/>
        <v>kg</v>
      </c>
      <c r="Z58" s="229"/>
      <c r="AA58" s="235">
        <f>IF(F58="","",Regn2!IE64)</f>
        <v>65</v>
      </c>
      <c r="AB58" s="229" t="str">
        <f t="shared" si="16"/>
        <v>%</v>
      </c>
      <c r="AC58" s="229"/>
      <c r="AD58" s="235">
        <f>IF(F58="","",Regn2!IF64)</f>
        <v>0.59877580297876609</v>
      </c>
      <c r="AE58" s="229" t="str">
        <f t="shared" si="17"/>
        <v>kg</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t="str">
        <f>Regn2!A66</f>
        <v>47-0</v>
      </c>
      <c r="C60" s="229"/>
      <c r="D60" s="229" t="str">
        <f>IF(ISERROR(VLOOKUP(Regn2!B66,Jordtype,2)),"",IF(F60="","",VLOOKUP(Regn2!B66,Jordtype,2)))</f>
        <v>JB 6</v>
      </c>
      <c r="E60" s="229"/>
      <c r="F60" s="229" t="str">
        <f>IF(OR(ISERROR(VLOOKUP(Regn2!R66,Afgr,2)),VLOOKUP(Regn2!R66,Afgr,2)=0),"",VLOOKUP(Regn2!R66,Afgr,2))</f>
        <v>Kløvergræs, 4 slæt</v>
      </c>
      <c r="G60" s="229"/>
      <c r="H60" s="229" t="str">
        <f>IF(Regn2!T66&lt;=1,"",VLOOKUP(Regn2!T66,Efgr,2))</f>
        <v/>
      </c>
      <c r="I60" s="229"/>
      <c r="J60" s="229" t="str">
        <f>IF(OR(ISERROR(VLOOKUP(Regn2!X66,Afgr,2)),VLOOKUP(Regn2!X66,Afgr,2)=0),"",VLOOKUP(Regn2!X66,Afgr,2))</f>
        <v>Vårbyg, foder</v>
      </c>
      <c r="K60" s="229"/>
      <c r="L60" s="234">
        <f>IF(Regn2!Z66=0,"",Regn2!Z66)</f>
        <v>6.29</v>
      </c>
      <c r="M60" s="234" t="str">
        <f t="shared" si="12"/>
        <v>ha</v>
      </c>
      <c r="N60" s="229"/>
      <c r="O60" s="229">
        <f>IF(Regn2!AM66=0,"",Regn2!AM66)</f>
        <v>7600</v>
      </c>
      <c r="P60" s="229" t="str">
        <f>IF(O60="","",Regn2!AO66)</f>
        <v>FE</v>
      </c>
      <c r="Q60" s="229"/>
      <c r="R60" s="235">
        <f>IF(F60="","",IF(Regn2!S66=2,"Nedm.",Regn2!BC66))</f>
        <v>0</v>
      </c>
      <c r="S60" s="229" t="str">
        <f t="shared" si="13"/>
        <v>kg</v>
      </c>
      <c r="T60" s="229"/>
      <c r="U60" s="235">
        <f>IF(F60="","",Regn2!FR66)</f>
        <v>362.24737897072498</v>
      </c>
      <c r="V60" s="229" t="str">
        <f t="shared" si="14"/>
        <v>kg</v>
      </c>
      <c r="W60" s="229"/>
      <c r="X60" s="236">
        <f>IF(F60="","",Regn2!IC66)</f>
        <v>21.951421123613255</v>
      </c>
      <c r="Y60" s="229" t="str">
        <f t="shared" si="15"/>
        <v>kg</v>
      </c>
      <c r="Z60" s="229"/>
      <c r="AA60" s="235">
        <f>IF(F60="","",Regn2!IE66)</f>
        <v>65</v>
      </c>
      <c r="AB60" s="229" t="str">
        <f t="shared" si="16"/>
        <v>%</v>
      </c>
      <c r="AC60" s="229"/>
      <c r="AD60" s="235">
        <f>IF(F60="","",Regn2!IF66)</f>
        <v>7.6829973932646398</v>
      </c>
      <c r="AE60" s="229" t="str">
        <f t="shared" si="17"/>
        <v>kg</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t="str">
        <f>Regn2!A68</f>
        <v>47-1</v>
      </c>
      <c r="C62" s="229"/>
      <c r="D62" s="229" t="str">
        <f>IF(ISERROR(VLOOKUP(Regn2!B68,Jordtype,2)),"",IF(F62="","",VLOOKUP(Regn2!B68,Jordtype,2)))</f>
        <v>JB 6</v>
      </c>
      <c r="E62" s="229"/>
      <c r="F62" s="229" t="str">
        <f>IF(OR(ISERROR(VLOOKUP(Regn2!R68,Afgr,2)),VLOOKUP(Regn2!R68,Afgr,2)=0),"",VLOOKUP(Regn2!R68,Afgr,2))</f>
        <v>Vårbyg, foder</v>
      </c>
      <c r="G62" s="229"/>
      <c r="H62" s="229" t="str">
        <f>IF(Regn2!T68&lt;=1,"",VLOOKUP(Regn2!T68,Efgr,2))</f>
        <v>Olieræddike E</v>
      </c>
      <c r="I62" s="229"/>
      <c r="J62" s="229" t="str">
        <f>IF(OR(ISERROR(VLOOKUP(Regn2!X68,Afgr,2)),VLOOKUP(Regn2!X68,Afgr,2)=0),"",VLOOKUP(Regn2!X68,Afgr,2))</f>
        <v>Vårbyg, foder</v>
      </c>
      <c r="K62" s="229"/>
      <c r="L62" s="234">
        <f>IF(Regn2!Z68=0,"",Regn2!Z68)</f>
        <v>5.76</v>
      </c>
      <c r="M62" s="234" t="str">
        <f t="shared" si="12"/>
        <v>ha</v>
      </c>
      <c r="N62" s="229"/>
      <c r="O62" s="229">
        <f>IF(Regn2!AM68=0,"",Regn2!AM68)</f>
        <v>56</v>
      </c>
      <c r="P62" s="229" t="str">
        <f>IF(O62="","",Regn2!AO68)</f>
        <v>hkg</v>
      </c>
      <c r="Q62" s="229"/>
      <c r="R62" s="235">
        <f>IF(F62="","",IF(Regn2!S68=2,"Nedm.",Regn2!BC68))</f>
        <v>3000</v>
      </c>
      <c r="S62" s="229" t="str">
        <f t="shared" si="13"/>
        <v>kg</v>
      </c>
      <c r="T62" s="229"/>
      <c r="U62" s="235">
        <f>IF(F62="","",Regn2!FR68)</f>
        <v>41.889097653631268</v>
      </c>
      <c r="V62" s="229" t="str">
        <f t="shared" si="14"/>
        <v>kg</v>
      </c>
      <c r="W62" s="229"/>
      <c r="X62" s="236">
        <f>IF(F62="","",Regn2!IC68)</f>
        <v>20.942767723685982</v>
      </c>
      <c r="Y62" s="229" t="str">
        <f t="shared" si="15"/>
        <v>kg</v>
      </c>
      <c r="Z62" s="229"/>
      <c r="AA62" s="235">
        <f>IF(F62="","",Regn2!IE68)</f>
        <v>65</v>
      </c>
      <c r="AB62" s="229" t="str">
        <f t="shared" si="16"/>
        <v>%</v>
      </c>
      <c r="AC62" s="229"/>
      <c r="AD62" s="235">
        <f>IF(F62="","",Regn2!IF68)</f>
        <v>7.3299687032900946</v>
      </c>
      <c r="AE62" s="229" t="str">
        <f t="shared" si="17"/>
        <v>kg</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t="str">
        <f>Regn2!A70</f>
        <v>49-0</v>
      </c>
      <c r="C64" s="229"/>
      <c r="D64" s="229" t="str">
        <f>IF(ISERROR(VLOOKUP(Regn2!B70,Jordtype,2)),"",IF(F64="","",VLOOKUP(Regn2!B70,Jordtype,2)))</f>
        <v>JB 6</v>
      </c>
      <c r="E64" s="229"/>
      <c r="F64" s="229" t="str">
        <f>IF(OR(ISERROR(VLOOKUP(Regn2!R70,Afgr,2)),VLOOKUP(Regn2!R70,Afgr,2)=0),"",VLOOKUP(Regn2!R70,Afgr,2))</f>
        <v>Vårbyg, foder</v>
      </c>
      <c r="G64" s="229"/>
      <c r="H64" s="229" t="str">
        <f>IF(Regn2!T70&lt;=1,"",VLOOKUP(Regn2!T70,Efgr,2))</f>
        <v>Olieræddike E</v>
      </c>
      <c r="I64" s="229"/>
      <c r="J64" s="229" t="str">
        <f>IF(OR(ISERROR(VLOOKUP(Regn2!X70,Afgr,2)),VLOOKUP(Regn2!X70,Afgr,2)=0),"",VLOOKUP(Regn2!X70,Afgr,2))</f>
        <v>Vårbyg, foder</v>
      </c>
      <c r="K64" s="229"/>
      <c r="L64" s="234">
        <f>IF(Regn2!Z70=0,"",Regn2!Z70)</f>
        <v>15.41</v>
      </c>
      <c r="M64" s="234" t="str">
        <f t="shared" si="12"/>
        <v>ha</v>
      </c>
      <c r="N64" s="229"/>
      <c r="O64" s="229">
        <f>IF(Regn2!AM70=0,"",Regn2!AM70)</f>
        <v>56</v>
      </c>
      <c r="P64" s="229" t="str">
        <f>IF(O64="","",Regn2!AO70)</f>
        <v>hkg</v>
      </c>
      <c r="Q64" s="229"/>
      <c r="R64" s="235">
        <f>IF(F64="","",IF(Regn2!S70=2,"Nedm.",Regn2!BC70))</f>
        <v>3000</v>
      </c>
      <c r="S64" s="229" t="str">
        <f t="shared" si="13"/>
        <v>kg</v>
      </c>
      <c r="T64" s="229"/>
      <c r="U64" s="235">
        <f>IF(F64="","",Regn2!FR70)</f>
        <v>41.889097653631268</v>
      </c>
      <c r="V64" s="229" t="str">
        <f t="shared" si="14"/>
        <v>kg</v>
      </c>
      <c r="W64" s="229"/>
      <c r="X64" s="236">
        <f>IF(F64="","",Regn2!IC70)</f>
        <v>20.942767723685982</v>
      </c>
      <c r="Y64" s="229" t="str">
        <f t="shared" si="15"/>
        <v>kg</v>
      </c>
      <c r="Z64" s="229"/>
      <c r="AA64" s="235">
        <f>IF(F64="","",Regn2!IE70)</f>
        <v>65</v>
      </c>
      <c r="AB64" s="229" t="str">
        <f t="shared" si="16"/>
        <v>%</v>
      </c>
      <c r="AC64" s="229"/>
      <c r="AD64" s="235">
        <f>IF(F64="","",Regn2!IF70)</f>
        <v>7.3299687032900946</v>
      </c>
      <c r="AE64" s="229" t="str">
        <f t="shared" si="17"/>
        <v>kg</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t="str">
        <f>Regn2!A72</f>
        <v>980-0</v>
      </c>
      <c r="C66" s="229"/>
      <c r="D66" s="229" t="str">
        <f>IF(ISERROR(VLOOKUP(Regn2!B72,Jordtype,2)),"",IF(F66="","",VLOOKUP(Regn2!B72,Jordtype,2)))</f>
        <v>JB 6</v>
      </c>
      <c r="E66" s="229"/>
      <c r="F66" s="229" t="str">
        <f>IF(OR(ISERROR(VLOOKUP(Regn2!R72,Afgr,2)),VLOOKUP(Regn2!R72,Afgr,2)=0),"",VLOOKUP(Regn2!R72,Afgr,2))</f>
        <v>Randzone</v>
      </c>
      <c r="G66" s="229"/>
      <c r="H66" s="229" t="str">
        <f>IF(Regn2!T72&lt;=1,"",VLOOKUP(Regn2!T72,Efgr,2))</f>
        <v/>
      </c>
      <c r="I66" s="229"/>
      <c r="J66" s="229" t="str">
        <f>IF(OR(ISERROR(VLOOKUP(Regn2!X72,Afgr,2)),VLOOKUP(Regn2!X72,Afgr,2)=0),"",VLOOKUP(Regn2!X72,Afgr,2))</f>
        <v>Randzone</v>
      </c>
      <c r="K66" s="229"/>
      <c r="L66" s="234">
        <f>IF(Regn2!Z72=0,"",Regn2!Z72)</f>
        <v>1.66</v>
      </c>
      <c r="M66" s="234" t="str">
        <f t="shared" si="12"/>
        <v>ha</v>
      </c>
      <c r="N66" s="229"/>
      <c r="O66" s="229" t="str">
        <f>IF(Regn2!AM72=0,"",Regn2!AM72)</f>
        <v/>
      </c>
      <c r="P66" s="229" t="str">
        <f>IF(O66="","",Regn2!AO72)</f>
        <v/>
      </c>
      <c r="Q66" s="229"/>
      <c r="R66" s="235">
        <f>IF(F66="","",IF(Regn2!S72=2,"Nedm.",Regn2!BC72))</f>
        <v>0</v>
      </c>
      <c r="S66" s="229" t="str">
        <f t="shared" si="13"/>
        <v>kg</v>
      </c>
      <c r="T66" s="229"/>
      <c r="U66" s="235">
        <f>IF(F66="","",Regn2!FR72)</f>
        <v>15</v>
      </c>
      <c r="V66" s="229" t="str">
        <f t="shared" si="14"/>
        <v>kg</v>
      </c>
      <c r="W66" s="229"/>
      <c r="X66" s="236">
        <f>IF(F66="","",Regn2!IC72)</f>
        <v>9.0690864030581704</v>
      </c>
      <c r="Y66" s="229" t="str">
        <f t="shared" si="15"/>
        <v>kg</v>
      </c>
      <c r="Z66" s="229"/>
      <c r="AA66" s="235">
        <f>IF(F66="","",Regn2!IE72)</f>
        <v>65</v>
      </c>
      <c r="AB66" s="229" t="str">
        <f t="shared" si="16"/>
        <v>%</v>
      </c>
      <c r="AC66" s="229"/>
      <c r="AD66" s="235">
        <f>IF(F66="","",Regn2!IF72)</f>
        <v>3.1741802410703599</v>
      </c>
      <c r="AE66" s="229" t="str">
        <f t="shared" si="17"/>
        <v>kg</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t="str">
        <f>Regn2!A74</f>
        <v>2-0</v>
      </c>
      <c r="C68" s="229"/>
      <c r="D68" s="229" t="str">
        <f>IF(ISERROR(VLOOKUP(Regn2!B74,Jordtype,2)),"",IF(F68="","",VLOOKUP(Regn2!B74,Jordtype,2)))</f>
        <v>JB 6</v>
      </c>
      <c r="E68" s="229"/>
      <c r="F68" s="229" t="str">
        <f>IF(OR(ISERROR(VLOOKUP(Regn2!R74,Afgr,2)),VLOOKUP(Regn2!R74,Afgr,2)=0),"",VLOOKUP(Regn2!R74,Afgr,2))</f>
        <v>Majs, helsæd</v>
      </c>
      <c r="G68" s="229"/>
      <c r="H68" s="229" t="str">
        <f>IF(Regn2!T74&lt;=1,"",VLOOKUP(Regn2!T74,Efgr,2))</f>
        <v/>
      </c>
      <c r="I68" s="229"/>
      <c r="J68" s="229" t="str">
        <f>IF(OR(ISERROR(VLOOKUP(Regn2!X74,Afgr,2)),VLOOKUP(Regn2!X74,Afgr,2)=0),"",VLOOKUP(Regn2!X74,Afgr,2))</f>
        <v>Vårbyg, foder</v>
      </c>
      <c r="K68" s="229"/>
      <c r="L68" s="234">
        <f>IF(Regn2!Z74=0,"",Regn2!Z74)</f>
        <v>4.24</v>
      </c>
      <c r="M68" s="234" t="str">
        <f t="shared" si="12"/>
        <v>ha</v>
      </c>
      <c r="N68" s="229"/>
      <c r="O68" s="229">
        <f>IF(Regn2!AM74=0,"",Regn2!AM74)</f>
        <v>10300</v>
      </c>
      <c r="P68" s="229" t="str">
        <f>IF(O68="","",Regn2!AO74)</f>
        <v>FE</v>
      </c>
      <c r="Q68" s="229"/>
      <c r="R68" s="235">
        <f>IF(F68="","",IF(Regn2!S74=2,"Nedm.",Regn2!BC74))</f>
        <v>0</v>
      </c>
      <c r="S68" s="229" t="str">
        <f t="shared" si="13"/>
        <v>kg</v>
      </c>
      <c r="T68" s="229"/>
      <c r="U68" s="235">
        <f>IF(F68="","",Regn2!FR74)</f>
        <v>65.930816000000007</v>
      </c>
      <c r="V68" s="229" t="str">
        <f t="shared" si="14"/>
        <v>kg</v>
      </c>
      <c r="W68" s="229"/>
      <c r="X68" s="236">
        <f>IF(F68="","",Regn2!IC74)</f>
        <v>82.407924368732679</v>
      </c>
      <c r="Y68" s="229" t="str">
        <f t="shared" si="15"/>
        <v>kg</v>
      </c>
      <c r="Z68" s="229"/>
      <c r="AA68" s="235">
        <f>IF(F68="","",Regn2!IE74)</f>
        <v>65</v>
      </c>
      <c r="AB68" s="229" t="str">
        <f t="shared" si="16"/>
        <v>%</v>
      </c>
      <c r="AC68" s="229"/>
      <c r="AD68" s="235">
        <f>IF(F68="","",Regn2!IF74)</f>
        <v>28.842773529056441</v>
      </c>
      <c r="AE68" s="229" t="str">
        <f t="shared" si="17"/>
        <v>kg</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t="str">
        <f>Regn2!A76</f>
        <v>3-1</v>
      </c>
      <c r="C70" s="229"/>
      <c r="D70" s="229" t="str">
        <f>IF(ISERROR(VLOOKUP(Regn2!B76,Jordtype,2)),"",IF(F70="","",VLOOKUP(Regn2!B76,Jordtype,2)))</f>
        <v>JB 6</v>
      </c>
      <c r="E70" s="229"/>
      <c r="F70" s="229" t="str">
        <f>IF(OR(ISERROR(VLOOKUP(Regn2!R76,Afgr,2)),VLOOKUP(Regn2!R76,Afgr,2)=0),"",VLOOKUP(Regn2!R76,Afgr,2))</f>
        <v>Vårbyg, foder</v>
      </c>
      <c r="G70" s="229"/>
      <c r="H70" s="229" t="str">
        <f>IF(Regn2!T76&lt;=1,"",VLOOKUP(Regn2!T76,Efgr,2))</f>
        <v/>
      </c>
      <c r="I70" s="229"/>
      <c r="J70" s="229" t="str">
        <f>IF(OR(ISERROR(VLOOKUP(Regn2!X76,Afgr,2)),VLOOKUP(Regn2!X76,Afgr,2)=0),"",VLOOKUP(Regn2!X76,Afgr,2))</f>
        <v>Vårbyg, foder</v>
      </c>
      <c r="K70" s="229"/>
      <c r="L70" s="234">
        <f>IF(Regn2!Z76=0,"",Regn2!Z76)</f>
        <v>4.42</v>
      </c>
      <c r="M70" s="234" t="str">
        <f t="shared" si="12"/>
        <v>ha</v>
      </c>
      <c r="N70" s="229"/>
      <c r="O70" s="229">
        <f>IF(Regn2!AM76=0,"",Regn2!AM76)</f>
        <v>56</v>
      </c>
      <c r="P70" s="229" t="str">
        <f>IF(O70="","",Regn2!AO76)</f>
        <v>hkg</v>
      </c>
      <c r="Q70" s="229"/>
      <c r="R70" s="235">
        <f>IF(F70="","",IF(Regn2!S76=2,"Nedm.",Regn2!BC76))</f>
        <v>3000</v>
      </c>
      <c r="S70" s="229" t="str">
        <f t="shared" si="13"/>
        <v>kg</v>
      </c>
      <c r="T70" s="229"/>
      <c r="U70" s="235">
        <f>IF(F70="","",Regn2!FR76)</f>
        <v>44.974519776536283</v>
      </c>
      <c r="V70" s="229" t="str">
        <f t="shared" si="14"/>
        <v>kg</v>
      </c>
      <c r="W70" s="229"/>
      <c r="X70" s="236">
        <f>IF(F70="","",Regn2!IC76)</f>
        <v>54.79520325387854</v>
      </c>
      <c r="Y70" s="229" t="str">
        <f t="shared" si="15"/>
        <v>kg</v>
      </c>
      <c r="Z70" s="229"/>
      <c r="AA70" s="235">
        <f>IF(F70="","",Regn2!IE76)</f>
        <v>65</v>
      </c>
      <c r="AB70" s="229" t="str">
        <f t="shared" si="16"/>
        <v>%</v>
      </c>
      <c r="AC70" s="229"/>
      <c r="AD70" s="235">
        <f>IF(F70="","",Regn2!IF76)</f>
        <v>19.178321138857488</v>
      </c>
      <c r="AE70" s="229" t="str">
        <f t="shared" si="17"/>
        <v>kg</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4866.21</v>
      </c>
      <c r="I102" s="229"/>
      <c r="J102" s="248">
        <f>Regn2!CS102</f>
        <v>375.41000000000008</v>
      </c>
      <c r="K102" s="229"/>
      <c r="L102" s="236">
        <f>Regn2!DA102</f>
        <v>691.25999999999988</v>
      </c>
      <c r="M102" s="229"/>
    </row>
    <row r="103" spans="2:13" x14ac:dyDescent="0.2">
      <c r="B103" s="229" t="s">
        <v>138</v>
      </c>
      <c r="C103" s="229"/>
      <c r="D103" s="229"/>
      <c r="E103" s="229"/>
      <c r="F103" s="229"/>
      <c r="G103" s="229"/>
      <c r="H103" s="236">
        <f>Regn2!FI102</f>
        <v>17007.000000000004</v>
      </c>
      <c r="I103" s="229"/>
      <c r="J103" s="248">
        <f>Regn2!CV102</f>
        <v>3263.1599999999994</v>
      </c>
      <c r="K103" s="229"/>
      <c r="L103" s="236">
        <f>Regn2!DD102</f>
        <v>9959.82</v>
      </c>
      <c r="M103" s="229"/>
    </row>
    <row r="104" spans="2:13" x14ac:dyDescent="0.2">
      <c r="B104" s="229" t="s">
        <v>1753</v>
      </c>
      <c r="C104" s="229"/>
      <c r="D104" s="229"/>
      <c r="E104" s="229"/>
      <c r="F104" s="229"/>
      <c r="G104" s="229"/>
      <c r="H104" s="236">
        <f>Regn2!FO102</f>
        <v>893.19743434414522</v>
      </c>
      <c r="I104" s="229"/>
      <c r="J104" s="247"/>
      <c r="K104" s="229"/>
      <c r="L104" s="229"/>
      <c r="M104" s="229"/>
    </row>
    <row r="105" spans="2:13" x14ac:dyDescent="0.2">
      <c r="B105" s="229" t="s">
        <v>2</v>
      </c>
      <c r="C105" s="229"/>
      <c r="D105" s="229"/>
      <c r="E105" s="229"/>
      <c r="F105" s="229"/>
      <c r="G105" s="229"/>
      <c r="H105" s="236">
        <f>Regn2!FK102</f>
        <v>171.6846864</v>
      </c>
      <c r="I105" s="229"/>
      <c r="J105" s="247"/>
      <c r="K105" s="229"/>
      <c r="L105" s="229"/>
      <c r="M105" s="229"/>
    </row>
    <row r="106" spans="2:13" x14ac:dyDescent="0.2">
      <c r="B106" s="229" t="s">
        <v>261</v>
      </c>
      <c r="C106" s="229"/>
      <c r="D106" s="229"/>
      <c r="E106" s="229"/>
      <c r="F106" s="229"/>
      <c r="G106" s="229"/>
      <c r="H106" s="236">
        <f>Regn2!FM102</f>
        <v>1852.1999999999998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24790.292120744147</v>
      </c>
      <c r="I108" s="232"/>
      <c r="J108" s="249">
        <f>Regn2!FX102</f>
        <v>3638.5699999999997</v>
      </c>
      <c r="K108" s="232"/>
      <c r="L108" s="244">
        <f>Regn2!GE102</f>
        <v>10651.08</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12926.998790849226</v>
      </c>
      <c r="I110" s="229"/>
      <c r="J110" s="248">
        <f>Regn2!DT102</f>
        <v>2584.8183520000002</v>
      </c>
      <c r="K110" s="229"/>
      <c r="L110" s="236">
        <f>Regn2!DW102</f>
        <v>9565.3274399999991</v>
      </c>
      <c r="M110" s="229"/>
    </row>
    <row r="111" spans="2:13" x14ac:dyDescent="0.2">
      <c r="B111" s="229" t="s">
        <v>2339</v>
      </c>
      <c r="C111" s="229"/>
      <c r="D111" s="229"/>
      <c r="E111" s="229"/>
      <c r="F111" s="229"/>
      <c r="G111" s="229"/>
      <c r="H111" s="236">
        <f>Regn2!EC102</f>
        <v>1039.9726232734299</v>
      </c>
      <c r="I111" s="229"/>
      <c r="J111" s="248">
        <f>Regn2!EF102</f>
        <v>176.96285999999998</v>
      </c>
      <c r="K111" s="229"/>
      <c r="L111" s="236">
        <f>Regn2!EI102</f>
        <v>2509.5570000000002</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13966.971414122652</v>
      </c>
      <c r="I114" s="232"/>
      <c r="J114" s="249">
        <f>Regn2!FZ102</f>
        <v>2761.7812120000008</v>
      </c>
      <c r="K114" s="232"/>
      <c r="L114" s="244">
        <f>Regn2!GG102</f>
        <v>12074.88444</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10823.320706621485</v>
      </c>
      <c r="I116" s="232"/>
      <c r="J116" s="249">
        <f>Regn2!GB102</f>
        <v>876.78878799999984</v>
      </c>
      <c r="K116" s="232"/>
      <c r="L116" s="244">
        <f>Regn2!GI102</f>
        <v>-1423.8044399999997</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4314.6000499024121</v>
      </c>
      <c r="I118" s="229"/>
      <c r="J118" s="247"/>
      <c r="K118" s="229"/>
      <c r="L118" s="229"/>
      <c r="M118" s="229"/>
    </row>
    <row r="119" spans="2:13" x14ac:dyDescent="0.2">
      <c r="B119" s="229" t="s">
        <v>1484</v>
      </c>
      <c r="C119" s="229"/>
      <c r="D119" s="229"/>
      <c r="E119" s="229"/>
      <c r="F119" s="229"/>
      <c r="G119" s="229"/>
      <c r="H119" s="236">
        <f>Regn2!IG102</f>
        <v>1510.1100174658436</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7" t="s">
        <v>498</v>
      </c>
      <c r="C3" s="267"/>
      <c r="D3" s="267"/>
      <c r="E3" s="267"/>
      <c r="F3" s="267"/>
      <c r="G3" s="267"/>
      <c r="H3" s="267"/>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7" t="s">
        <v>2232</v>
      </c>
      <c r="C51" s="267"/>
      <c r="D51" s="267"/>
      <c r="E51" s="267"/>
      <c r="F51" s="262"/>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9"/>
      <c r="F5" s="270"/>
      <c r="G5" s="270"/>
      <c r="H5" s="270"/>
      <c r="I5" s="271"/>
      <c r="K5" s="15" t="s">
        <v>1823</v>
      </c>
      <c r="M5" s="269"/>
      <c r="N5" s="270"/>
      <c r="O5" s="270"/>
      <c r="P5" s="271"/>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9"/>
      <c r="F13" s="270"/>
      <c r="G13" s="270"/>
      <c r="H13" s="270"/>
      <c r="I13" s="271"/>
      <c r="J13" s="18"/>
      <c r="N13" s="272" t="s">
        <v>1837</v>
      </c>
      <c r="O13" s="273"/>
      <c r="P13" s="273"/>
    </row>
    <row r="14" spans="3:27" ht="9.9499999999999993" customHeight="1" x14ac:dyDescent="0.25"/>
    <row r="15" spans="3:27" x14ac:dyDescent="0.25">
      <c r="C15" s="27" t="s">
        <v>1539</v>
      </c>
      <c r="K15" s="123"/>
      <c r="L15" s="15" t="s">
        <v>85</v>
      </c>
      <c r="N15" s="15">
        <f>-K15*KvoteredukHa12</f>
        <v>0</v>
      </c>
      <c r="O15" s="15" t="s">
        <v>82</v>
      </c>
      <c r="Q15" s="267"/>
      <c r="R15" s="267"/>
      <c r="S15" s="267"/>
      <c r="T15" s="267"/>
      <c r="U15" s="267"/>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7"/>
      <c r="R17" s="267"/>
      <c r="S17" s="267"/>
      <c r="T17" s="267"/>
      <c r="U17" s="267"/>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7" t="s">
        <v>85</v>
      </c>
      <c r="U25" s="267"/>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54">
        <v>1</v>
      </c>
      <c r="N30" s="255"/>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76"/>
      <c r="B32" s="262"/>
      <c r="C32" s="256" t="s">
        <v>76</v>
      </c>
      <c r="D32" s="257"/>
      <c r="E32" s="257"/>
      <c r="F32" s="257"/>
      <c r="G32" s="258" t="s">
        <v>79</v>
      </c>
      <c r="H32" s="259"/>
      <c r="I32" s="259"/>
      <c r="J32" s="257"/>
      <c r="K32" s="183" t="s">
        <v>1350</v>
      </c>
      <c r="L32" s="184"/>
      <c r="M32" s="268" t="s">
        <v>28</v>
      </c>
      <c r="N32" s="268"/>
      <c r="O32" s="268"/>
      <c r="P32" s="268"/>
      <c r="Q32" s="258" t="s">
        <v>1543</v>
      </c>
      <c r="R32" s="259"/>
      <c r="S32" s="259"/>
      <c r="T32" s="263"/>
      <c r="U32" s="260" t="s">
        <v>83</v>
      </c>
      <c r="V32" s="260"/>
      <c r="W32" s="260"/>
      <c r="X32" s="262"/>
      <c r="Z32" s="26" t="s">
        <v>84</v>
      </c>
      <c r="AC32" s="264" t="s">
        <v>1886</v>
      </c>
      <c r="AD32" s="265"/>
      <c r="AF32" s="26" t="s">
        <v>28</v>
      </c>
      <c r="AH32" s="26" t="s">
        <v>178</v>
      </c>
      <c r="AN32" s="26" t="s">
        <v>200</v>
      </c>
      <c r="AT32" s="26" t="s">
        <v>184</v>
      </c>
      <c r="AZ32" s="26" t="s">
        <v>1337</v>
      </c>
      <c r="BF32" s="26" t="s">
        <v>189</v>
      </c>
      <c r="BL32" s="261" t="s">
        <v>1547</v>
      </c>
      <c r="BM32" s="267"/>
      <c r="BO32" s="26" t="s">
        <v>198</v>
      </c>
      <c r="BU32" s="26" t="s">
        <v>28</v>
      </c>
      <c r="BW32" s="260" t="s">
        <v>437</v>
      </c>
      <c r="BX32" s="260"/>
      <c r="BY32" s="260"/>
      <c r="BZ32" s="260"/>
      <c r="CC32" s="261" t="s">
        <v>86</v>
      </c>
      <c r="CD32" s="260"/>
      <c r="CF32" s="261" t="s">
        <v>1544</v>
      </c>
      <c r="CG32" s="262"/>
      <c r="CH32" s="108"/>
      <c r="CI32" s="260" t="s">
        <v>456</v>
      </c>
      <c r="CJ32" s="260"/>
      <c r="CL32" s="261" t="s">
        <v>476</v>
      </c>
      <c r="CM32" s="260"/>
      <c r="CN32" s="260"/>
      <c r="CO32" s="262"/>
      <c r="CR32" s="261" t="s">
        <v>1545</v>
      </c>
      <c r="CS32" s="267"/>
      <c r="CU32" s="261" t="s">
        <v>1546</v>
      </c>
      <c r="CV32" s="267"/>
      <c r="CX32" s="30" t="s">
        <v>1543</v>
      </c>
      <c r="CZ32" s="26" t="s">
        <v>219</v>
      </c>
      <c r="DF32" s="261" t="s">
        <v>1548</v>
      </c>
      <c r="DG32" s="260"/>
      <c r="DH32" s="260"/>
      <c r="DJ32" s="26" t="s">
        <v>86</v>
      </c>
      <c r="DP32" s="261" t="s">
        <v>476</v>
      </c>
      <c r="DQ32" s="267"/>
      <c r="DR32" s="267"/>
      <c r="DV32" s="261" t="s">
        <v>1545</v>
      </c>
      <c r="DW32" s="267"/>
      <c r="DY32" s="261" t="s">
        <v>1546</v>
      </c>
      <c r="DZ32" s="267"/>
      <c r="EB32" s="26" t="s">
        <v>28</v>
      </c>
      <c r="ED32" s="26" t="s">
        <v>2</v>
      </c>
      <c r="EJ32" s="26" t="s">
        <v>523</v>
      </c>
      <c r="EP32" s="26" t="s">
        <v>3</v>
      </c>
      <c r="EV32" s="261" t="s">
        <v>1549</v>
      </c>
      <c r="EW32" s="260"/>
      <c r="EX32" s="260"/>
      <c r="EY32" s="260"/>
      <c r="EZ32" s="267"/>
      <c r="FB32" s="26" t="s">
        <v>360</v>
      </c>
      <c r="FH32" s="26" t="s">
        <v>363</v>
      </c>
      <c r="FN32" s="26" t="s">
        <v>364</v>
      </c>
      <c r="FT32" s="26" t="s">
        <v>365</v>
      </c>
      <c r="FZ32" s="26" t="s">
        <v>104</v>
      </c>
      <c r="GL32" s="261" t="s">
        <v>1550</v>
      </c>
      <c r="GM32" s="260"/>
      <c r="GN32" s="260"/>
      <c r="GO32" s="260"/>
      <c r="GP32" s="260"/>
      <c r="GR32" s="261" t="s">
        <v>1551</v>
      </c>
      <c r="GS32" s="260"/>
      <c r="GT32" s="260"/>
      <c r="GU32" s="260"/>
      <c r="GV32" s="260"/>
      <c r="GX32" s="26" t="s">
        <v>435</v>
      </c>
      <c r="HG32" s="30" t="s">
        <v>1543</v>
      </c>
      <c r="HI32" s="26" t="s">
        <v>2</v>
      </c>
      <c r="HO32" s="26" t="s">
        <v>523</v>
      </c>
      <c r="HU32" s="26" t="s">
        <v>3</v>
      </c>
      <c r="IA32" s="26" t="s">
        <v>415</v>
      </c>
      <c r="IG32" s="26" t="s">
        <v>20</v>
      </c>
      <c r="IM32" s="26" t="s">
        <v>364</v>
      </c>
      <c r="IS32" s="26" t="s">
        <v>365</v>
      </c>
      <c r="IY32" s="26" t="s">
        <v>104</v>
      </c>
      <c r="JK32" s="261" t="s">
        <v>1552</v>
      </c>
      <c r="JL32" s="260"/>
      <c r="JM32" s="260"/>
      <c r="JN32" s="260"/>
      <c r="JO32" s="260"/>
      <c r="JQ32" s="261" t="s">
        <v>1553</v>
      </c>
      <c r="JR32" s="260"/>
      <c r="JS32" s="260"/>
      <c r="JT32" s="260"/>
      <c r="JU32" s="260"/>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54"/>
      <c r="N52" s="255"/>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56" t="s">
        <v>76</v>
      </c>
      <c r="D54" s="257"/>
      <c r="E54" s="257"/>
      <c r="F54" s="257"/>
      <c r="G54" s="258" t="s">
        <v>79</v>
      </c>
      <c r="H54" s="259"/>
      <c r="I54" s="259"/>
      <c r="J54" s="257"/>
      <c r="K54" s="183" t="s">
        <v>1350</v>
      </c>
      <c r="L54" s="184"/>
      <c r="M54" s="268" t="s">
        <v>28</v>
      </c>
      <c r="N54" s="268"/>
      <c r="O54" s="268"/>
      <c r="P54" s="280"/>
      <c r="Q54" s="258" t="s">
        <v>1543</v>
      </c>
      <c r="R54" s="259"/>
      <c r="S54" s="259"/>
      <c r="T54" s="263"/>
      <c r="U54" s="260" t="s">
        <v>83</v>
      </c>
      <c r="V54" s="260"/>
      <c r="W54" s="260"/>
      <c r="X54" s="262"/>
      <c r="Z54" s="26" t="s">
        <v>84</v>
      </c>
      <c r="AC54" s="264" t="s">
        <v>1886</v>
      </c>
      <c r="AD54" s="265"/>
      <c r="AF54" s="26" t="s">
        <v>28</v>
      </c>
      <c r="AH54" s="26" t="s">
        <v>178</v>
      </c>
      <c r="AN54" s="26" t="s">
        <v>200</v>
      </c>
      <c r="AT54" s="26" t="s">
        <v>184</v>
      </c>
      <c r="AZ54" s="26" t="s">
        <v>1337</v>
      </c>
      <c r="BF54" s="26" t="s">
        <v>189</v>
      </c>
      <c r="BL54" s="261" t="s">
        <v>1547</v>
      </c>
      <c r="BM54" s="267"/>
      <c r="BO54" s="26" t="s">
        <v>198</v>
      </c>
      <c r="BU54" s="26" t="s">
        <v>28</v>
      </c>
      <c r="BW54" s="260" t="s">
        <v>437</v>
      </c>
      <c r="BX54" s="260"/>
      <c r="BY54" s="260"/>
      <c r="BZ54" s="260"/>
      <c r="CC54" s="261" t="s">
        <v>86</v>
      </c>
      <c r="CD54" s="260"/>
      <c r="CF54" s="261" t="s">
        <v>1544</v>
      </c>
      <c r="CG54" s="260"/>
      <c r="CI54" s="261" t="s">
        <v>456</v>
      </c>
      <c r="CJ54" s="260"/>
      <c r="CL54" s="261" t="s">
        <v>476</v>
      </c>
      <c r="CM54" s="260"/>
      <c r="CN54" s="260"/>
      <c r="CO54" s="262"/>
      <c r="CR54" s="261" t="s">
        <v>1545</v>
      </c>
      <c r="CS54" s="267"/>
      <c r="CU54" s="261" t="s">
        <v>1546</v>
      </c>
      <c r="CV54" s="267"/>
      <c r="CX54" s="30" t="s">
        <v>1543</v>
      </c>
      <c r="CZ54" s="26" t="s">
        <v>219</v>
      </c>
      <c r="DF54" s="261" t="s">
        <v>1548</v>
      </c>
      <c r="DG54" s="260"/>
      <c r="DH54" s="260"/>
      <c r="DJ54" s="26" t="s">
        <v>86</v>
      </c>
      <c r="DM54" s="26" t="s">
        <v>456</v>
      </c>
      <c r="DP54" s="261" t="s">
        <v>476</v>
      </c>
      <c r="DQ54" s="267"/>
      <c r="DR54" s="267"/>
      <c r="DV54" s="261" t="s">
        <v>1545</v>
      </c>
      <c r="DW54" s="267"/>
      <c r="DY54" s="261" t="s">
        <v>1546</v>
      </c>
      <c r="DZ54" s="267"/>
      <c r="EB54" s="26" t="s">
        <v>28</v>
      </c>
      <c r="ED54" s="26" t="s">
        <v>2</v>
      </c>
      <c r="EJ54" s="26" t="s">
        <v>523</v>
      </c>
      <c r="EP54" s="26" t="s">
        <v>3</v>
      </c>
      <c r="EV54" s="261" t="s">
        <v>1549</v>
      </c>
      <c r="EW54" s="260"/>
      <c r="EX54" s="260"/>
      <c r="EY54" s="260"/>
      <c r="EZ54" s="267"/>
      <c r="FB54" s="26" t="s">
        <v>360</v>
      </c>
      <c r="FH54" s="26" t="s">
        <v>363</v>
      </c>
      <c r="FN54" s="26" t="s">
        <v>364</v>
      </c>
      <c r="FT54" s="26" t="s">
        <v>365</v>
      </c>
      <c r="FZ54" s="26" t="s">
        <v>104</v>
      </c>
      <c r="GL54" s="261" t="s">
        <v>1550</v>
      </c>
      <c r="GM54" s="260"/>
      <c r="GN54" s="260"/>
      <c r="GO54" s="260"/>
      <c r="GP54" s="260"/>
      <c r="GR54" s="261" t="s">
        <v>1551</v>
      </c>
      <c r="GS54" s="260"/>
      <c r="GT54" s="260"/>
      <c r="GU54" s="260"/>
      <c r="GV54" s="260"/>
      <c r="GX54" s="26" t="s">
        <v>435</v>
      </c>
      <c r="HG54" s="30" t="s">
        <v>1543</v>
      </c>
      <c r="HI54" s="26" t="s">
        <v>2</v>
      </c>
      <c r="HO54" s="26" t="s">
        <v>523</v>
      </c>
      <c r="HU54" s="26" t="s">
        <v>3</v>
      </c>
      <c r="IA54" s="26" t="s">
        <v>415</v>
      </c>
      <c r="IG54" s="26" t="s">
        <v>20</v>
      </c>
      <c r="IM54" s="26" t="s">
        <v>364</v>
      </c>
      <c r="IS54" s="26" t="s">
        <v>365</v>
      </c>
      <c r="IY54" s="26" t="s">
        <v>104</v>
      </c>
      <c r="JK54" s="261" t="s">
        <v>1552</v>
      </c>
      <c r="JL54" s="260"/>
      <c r="JM54" s="260"/>
      <c r="JN54" s="260"/>
      <c r="JO54" s="260"/>
      <c r="JQ54" s="261" t="s">
        <v>1553</v>
      </c>
      <c r="JR54" s="260"/>
      <c r="JS54" s="260"/>
      <c r="JT54" s="260"/>
      <c r="JU54" s="260"/>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6"/>
      <c r="H88" s="266"/>
      <c r="J88" s="266"/>
      <c r="K88" s="266"/>
      <c r="M88" s="266">
        <f>IF(NnormIalt12&lt;NnormTilpasIalt12,0,-(NnormIalt12-NnormTilpasIalt12))</f>
        <v>0</v>
      </c>
      <c r="N88" s="266"/>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9"/>
      <c r="F95" s="270"/>
      <c r="G95" s="270"/>
      <c r="H95" s="270"/>
      <c r="I95" s="271"/>
      <c r="J95" s="18"/>
      <c r="N95" s="272" t="s">
        <v>1837</v>
      </c>
      <c r="O95" s="273"/>
      <c r="P95" s="273"/>
    </row>
    <row r="96" spans="3:74" ht="9.9499999999999993" customHeight="1" x14ac:dyDescent="0.25"/>
    <row r="97" spans="3:30" x14ac:dyDescent="0.25">
      <c r="C97" s="27" t="s">
        <v>1539</v>
      </c>
      <c r="K97" s="123"/>
      <c r="L97" s="15" t="s">
        <v>85</v>
      </c>
      <c r="N97" s="15">
        <f>-K97*KvoteredukHa34</f>
        <v>0</v>
      </c>
      <c r="O97" s="15" t="s">
        <v>82</v>
      </c>
      <c r="Q97" s="267"/>
      <c r="R97" s="267"/>
      <c r="S97" s="267"/>
      <c r="T97" s="267"/>
      <c r="U97" s="267"/>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7"/>
      <c r="R99" s="267"/>
      <c r="S99" s="267"/>
      <c r="T99" s="267"/>
      <c r="U99" s="267"/>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7" t="s">
        <v>85</v>
      </c>
      <c r="U107" s="267"/>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54">
        <v>100</v>
      </c>
      <c r="N112" s="255"/>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56" t="s">
        <v>76</v>
      </c>
      <c r="D114" s="257"/>
      <c r="E114" s="257"/>
      <c r="F114" s="257"/>
      <c r="G114" s="258" t="s">
        <v>79</v>
      </c>
      <c r="H114" s="259"/>
      <c r="I114" s="259"/>
      <c r="J114" s="257"/>
      <c r="K114" s="183" t="s">
        <v>1350</v>
      </c>
      <c r="L114" s="184"/>
      <c r="M114" s="268" t="s">
        <v>28</v>
      </c>
      <c r="N114" s="268"/>
      <c r="O114" s="268"/>
      <c r="P114" s="268"/>
      <c r="Q114" s="258" t="s">
        <v>1543</v>
      </c>
      <c r="R114" s="259"/>
      <c r="S114" s="259"/>
      <c r="T114" s="263"/>
      <c r="U114" s="260" t="s">
        <v>83</v>
      </c>
      <c r="V114" s="260"/>
      <c r="W114" s="260"/>
      <c r="X114" s="262"/>
      <c r="Z114" s="26" t="s">
        <v>84</v>
      </c>
      <c r="AC114" s="264" t="s">
        <v>1886</v>
      </c>
      <c r="AD114" s="265"/>
      <c r="AF114" s="26" t="s">
        <v>28</v>
      </c>
      <c r="AH114" s="26" t="s">
        <v>178</v>
      </c>
      <c r="AN114" s="26" t="s">
        <v>200</v>
      </c>
      <c r="AT114" s="26" t="s">
        <v>184</v>
      </c>
      <c r="AZ114" s="26" t="s">
        <v>1337</v>
      </c>
      <c r="BF114" s="26" t="s">
        <v>189</v>
      </c>
      <c r="BL114" s="261" t="s">
        <v>1547</v>
      </c>
      <c r="BM114" s="267"/>
      <c r="BO114" s="26" t="s">
        <v>198</v>
      </c>
      <c r="BU114" s="26" t="s">
        <v>28</v>
      </c>
      <c r="BW114" s="260" t="s">
        <v>437</v>
      </c>
      <c r="BX114" s="260"/>
      <c r="BY114" s="260"/>
      <c r="BZ114" s="260"/>
      <c r="CC114" s="261" t="s">
        <v>86</v>
      </c>
      <c r="CD114" s="260"/>
      <c r="CF114" s="261" t="s">
        <v>1544</v>
      </c>
      <c r="CG114" s="260"/>
      <c r="CI114" s="261" t="s">
        <v>456</v>
      </c>
      <c r="CJ114" s="260"/>
      <c r="CL114" s="261" t="s">
        <v>476</v>
      </c>
      <c r="CM114" s="260"/>
      <c r="CN114" s="260"/>
      <c r="CO114" s="262"/>
      <c r="CR114" s="261" t="s">
        <v>1545</v>
      </c>
      <c r="CS114" s="267"/>
      <c r="CU114" s="261" t="s">
        <v>1546</v>
      </c>
      <c r="CV114" s="267"/>
      <c r="CX114" s="41" t="s">
        <v>1543</v>
      </c>
      <c r="CZ114" s="26" t="s">
        <v>219</v>
      </c>
      <c r="DF114" s="261" t="s">
        <v>1548</v>
      </c>
      <c r="DG114" s="260"/>
      <c r="DH114" s="260"/>
      <c r="DJ114" s="26" t="s">
        <v>86</v>
      </c>
      <c r="DM114" s="26" t="s">
        <v>456</v>
      </c>
      <c r="DP114" s="261" t="s">
        <v>476</v>
      </c>
      <c r="DQ114" s="267"/>
      <c r="DR114" s="267"/>
      <c r="DV114" s="261" t="s">
        <v>1545</v>
      </c>
      <c r="DW114" s="267"/>
      <c r="DY114" s="261" t="s">
        <v>1546</v>
      </c>
      <c r="DZ114" s="267"/>
      <c r="EB114" s="26" t="s">
        <v>28</v>
      </c>
      <c r="ED114" s="26" t="s">
        <v>2</v>
      </c>
      <c r="EJ114" s="26" t="s">
        <v>523</v>
      </c>
      <c r="EP114" s="26" t="s">
        <v>3</v>
      </c>
      <c r="EV114" s="261" t="s">
        <v>1549</v>
      </c>
      <c r="EW114" s="260"/>
      <c r="EX114" s="260"/>
      <c r="EY114" s="260"/>
      <c r="EZ114" s="267"/>
      <c r="FB114" s="26" t="s">
        <v>360</v>
      </c>
      <c r="FH114" s="26" t="s">
        <v>363</v>
      </c>
      <c r="FN114" s="26" t="s">
        <v>364</v>
      </c>
      <c r="FT114" s="26" t="s">
        <v>365</v>
      </c>
      <c r="FZ114" s="26" t="s">
        <v>104</v>
      </c>
      <c r="GL114" s="261" t="s">
        <v>1550</v>
      </c>
      <c r="GM114" s="260"/>
      <c r="GN114" s="260"/>
      <c r="GO114" s="260"/>
      <c r="GP114" s="260"/>
      <c r="GR114" s="261" t="s">
        <v>1551</v>
      </c>
      <c r="GS114" s="260"/>
      <c r="GT114" s="260"/>
      <c r="GU114" s="260"/>
      <c r="GV114" s="260"/>
      <c r="GX114" s="26" t="s">
        <v>435</v>
      </c>
      <c r="HG114" s="41" t="s">
        <v>1543</v>
      </c>
      <c r="HI114" s="26" t="s">
        <v>2</v>
      </c>
      <c r="HO114" s="26" t="s">
        <v>523</v>
      </c>
      <c r="HU114" s="26" t="s">
        <v>3</v>
      </c>
      <c r="IA114" s="26" t="s">
        <v>415</v>
      </c>
      <c r="IG114" s="26" t="s">
        <v>20</v>
      </c>
      <c r="IM114" s="26" t="s">
        <v>364</v>
      </c>
      <c r="IS114" s="26" t="s">
        <v>365</v>
      </c>
      <c r="IY114" s="26" t="s">
        <v>104</v>
      </c>
      <c r="JK114" s="261" t="s">
        <v>1552</v>
      </c>
      <c r="JL114" s="260"/>
      <c r="JM114" s="260"/>
      <c r="JN114" s="260"/>
      <c r="JO114" s="260"/>
      <c r="JQ114" s="261" t="s">
        <v>1553</v>
      </c>
      <c r="JR114" s="260"/>
      <c r="JS114" s="260"/>
      <c r="JT114" s="260"/>
      <c r="JU114" s="260"/>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54"/>
      <c r="N134" s="255"/>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56" t="s">
        <v>76</v>
      </c>
      <c r="D136" s="257"/>
      <c r="E136" s="257"/>
      <c r="F136" s="257"/>
      <c r="G136" s="258" t="s">
        <v>79</v>
      </c>
      <c r="H136" s="259"/>
      <c r="I136" s="259"/>
      <c r="J136" s="257"/>
      <c r="K136" s="183" t="s">
        <v>1350</v>
      </c>
      <c r="L136" s="184"/>
      <c r="M136" s="268" t="s">
        <v>28</v>
      </c>
      <c r="N136" s="268"/>
      <c r="O136" s="268"/>
      <c r="P136" s="268"/>
      <c r="Q136" s="258" t="s">
        <v>1543</v>
      </c>
      <c r="R136" s="259"/>
      <c r="S136" s="259"/>
      <c r="T136" s="263"/>
      <c r="U136" s="260" t="s">
        <v>83</v>
      </c>
      <c r="V136" s="260"/>
      <c r="W136" s="260"/>
      <c r="X136" s="262"/>
      <c r="Z136" s="26" t="s">
        <v>84</v>
      </c>
      <c r="AC136" s="264" t="s">
        <v>1886</v>
      </c>
      <c r="AD136" s="265"/>
      <c r="AF136" s="26" t="s">
        <v>28</v>
      </c>
      <c r="AH136" s="26" t="s">
        <v>178</v>
      </c>
      <c r="AN136" s="26" t="s">
        <v>200</v>
      </c>
      <c r="AT136" s="26" t="s">
        <v>184</v>
      </c>
      <c r="AZ136" s="26" t="s">
        <v>1337</v>
      </c>
      <c r="BF136" s="26" t="s">
        <v>189</v>
      </c>
      <c r="BL136" s="261" t="s">
        <v>1547</v>
      </c>
      <c r="BM136" s="267"/>
      <c r="BO136" s="26" t="s">
        <v>198</v>
      </c>
      <c r="BU136" s="26" t="s">
        <v>28</v>
      </c>
      <c r="BW136" s="260" t="s">
        <v>437</v>
      </c>
      <c r="BX136" s="260"/>
      <c r="BY136" s="260"/>
      <c r="BZ136" s="260"/>
      <c r="CC136" s="261" t="s">
        <v>86</v>
      </c>
      <c r="CD136" s="260"/>
      <c r="CF136" s="261" t="s">
        <v>1544</v>
      </c>
      <c r="CG136" s="260"/>
      <c r="CI136" s="261" t="s">
        <v>456</v>
      </c>
      <c r="CJ136" s="260"/>
      <c r="CL136" s="261" t="s">
        <v>476</v>
      </c>
      <c r="CM136" s="260"/>
      <c r="CN136" s="260"/>
      <c r="CO136" s="262"/>
      <c r="CR136" s="261" t="s">
        <v>1545</v>
      </c>
      <c r="CS136" s="267"/>
      <c r="CU136" s="261" t="s">
        <v>1546</v>
      </c>
      <c r="CV136" s="267"/>
      <c r="CX136" s="41" t="s">
        <v>1543</v>
      </c>
      <c r="CZ136" s="26" t="s">
        <v>219</v>
      </c>
      <c r="DF136" s="261" t="s">
        <v>1548</v>
      </c>
      <c r="DG136" s="260"/>
      <c r="DH136" s="260"/>
      <c r="DJ136" s="26" t="s">
        <v>86</v>
      </c>
      <c r="DM136" s="26" t="s">
        <v>456</v>
      </c>
      <c r="DP136" s="261" t="s">
        <v>476</v>
      </c>
      <c r="DQ136" s="267"/>
      <c r="DR136" s="267"/>
      <c r="DV136" s="261" t="s">
        <v>1545</v>
      </c>
      <c r="DW136" s="267"/>
      <c r="DY136" s="261" t="s">
        <v>1546</v>
      </c>
      <c r="DZ136" s="267"/>
      <c r="EB136" s="26" t="s">
        <v>28</v>
      </c>
      <c r="ED136" s="26" t="s">
        <v>2</v>
      </c>
      <c r="EJ136" s="26" t="s">
        <v>523</v>
      </c>
      <c r="EP136" s="26" t="s">
        <v>3</v>
      </c>
      <c r="EV136" s="261" t="s">
        <v>1549</v>
      </c>
      <c r="EW136" s="260"/>
      <c r="EX136" s="260"/>
      <c r="EY136" s="260"/>
      <c r="EZ136" s="267"/>
      <c r="FB136" s="26" t="s">
        <v>360</v>
      </c>
      <c r="FH136" s="26" t="s">
        <v>363</v>
      </c>
      <c r="FN136" s="26" t="s">
        <v>364</v>
      </c>
      <c r="FT136" s="26" t="s">
        <v>365</v>
      </c>
      <c r="FZ136" s="26" t="s">
        <v>104</v>
      </c>
      <c r="GL136" s="261" t="s">
        <v>1550</v>
      </c>
      <c r="GM136" s="260"/>
      <c r="GN136" s="260"/>
      <c r="GO136" s="260"/>
      <c r="GP136" s="260"/>
      <c r="GR136" s="261" t="s">
        <v>1551</v>
      </c>
      <c r="GS136" s="260"/>
      <c r="GT136" s="260"/>
      <c r="GU136" s="260"/>
      <c r="GV136" s="260"/>
      <c r="GX136" s="26" t="s">
        <v>435</v>
      </c>
      <c r="HG136" s="41" t="s">
        <v>1543</v>
      </c>
      <c r="HI136" s="26" t="s">
        <v>2</v>
      </c>
      <c r="HO136" s="26" t="s">
        <v>523</v>
      </c>
      <c r="HU136" s="26" t="s">
        <v>3</v>
      </c>
      <c r="IA136" s="26" t="s">
        <v>415</v>
      </c>
      <c r="IG136" s="26" t="s">
        <v>20</v>
      </c>
      <c r="IM136" s="26" t="s">
        <v>364</v>
      </c>
      <c r="IS136" s="26" t="s">
        <v>365</v>
      </c>
      <c r="IY136" s="26" t="s">
        <v>104</v>
      </c>
      <c r="JK136" s="261" t="s">
        <v>1552</v>
      </c>
      <c r="JL136" s="260"/>
      <c r="JM136" s="260"/>
      <c r="JN136" s="260"/>
      <c r="JO136" s="260"/>
      <c r="JQ136" s="261" t="s">
        <v>1553</v>
      </c>
      <c r="JR136" s="260"/>
      <c r="JS136" s="260"/>
      <c r="JT136" s="260"/>
      <c r="JU136" s="260"/>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6"/>
      <c r="H170" s="262"/>
      <c r="J170" s="266"/>
      <c r="K170" s="262"/>
      <c r="M170" s="266">
        <f>IF(NnormIalt34&lt;NnormTilpasIalt34,0,-(NnormIalt34-NnormTilpasIalt34))</f>
        <v>0</v>
      </c>
      <c r="N170" s="266"/>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78">
        <f>IF(DEEkstraHa12&lt;1,0,-K198*2*(10+DEEkstraHa12*0.5)*TranspMarkPris)</f>
        <v>0</v>
      </c>
      <c r="K200" s="267"/>
      <c r="L200" s="15" t="s">
        <v>1670</v>
      </c>
      <c r="N200" s="15" t="s">
        <v>1696</v>
      </c>
    </row>
    <row r="201" spans="3:16" ht="8.1" hidden="1" customHeight="1" x14ac:dyDescent="0.25">
      <c r="K201" s="18"/>
      <c r="N201" s="56"/>
      <c r="O201" s="56"/>
    </row>
    <row r="202" spans="3:16" hidden="1" x14ac:dyDescent="0.25">
      <c r="C202" s="15" t="s">
        <v>1685</v>
      </c>
      <c r="J202" s="278">
        <f>IF(DEEkstraHa34&lt;1,0,-K198*2*(10+DEEkstraHa34*0.5)*TranspMarkPris)</f>
        <v>0</v>
      </c>
      <c r="K202" s="267"/>
      <c r="L202" s="15" t="s">
        <v>1670</v>
      </c>
      <c r="N202" s="15" t="s">
        <v>1696</v>
      </c>
    </row>
    <row r="203" spans="3:16" ht="8.1" hidden="1" customHeight="1" x14ac:dyDescent="0.25"/>
    <row r="204" spans="3:16" x14ac:dyDescent="0.25">
      <c r="C204" s="15" t="s">
        <v>1702</v>
      </c>
      <c r="K204" s="29">
        <f>DEEkstraHa12</f>
        <v>0</v>
      </c>
      <c r="L204" s="15" t="s">
        <v>85</v>
      </c>
      <c r="N204" s="277">
        <f>IF(K192="",0,Q186*(IF($N$194&lt;&gt;"",$N$194,$K$194)-$K$192)+IF(Q186&gt;0,$J$200,0))</f>
        <v>0</v>
      </c>
      <c r="O204" s="277"/>
      <c r="P204" s="26" t="s">
        <v>188</v>
      </c>
    </row>
    <row r="205" spans="3:16" ht="8.1" customHeight="1" x14ac:dyDescent="0.25"/>
    <row r="206" spans="3:16" x14ac:dyDescent="0.25">
      <c r="C206" s="15" t="s">
        <v>1703</v>
      </c>
      <c r="K206" s="29">
        <f>DEEkstraHa34</f>
        <v>0</v>
      </c>
      <c r="L206" s="15" t="s">
        <v>85</v>
      </c>
      <c r="N206" s="277">
        <f>IF(K192="",0,Q188*(IF($N$194&lt;&gt;"",$N$194,$K$194)-$K$192)+IF(Q188&gt;0,$J$202,0))</f>
        <v>0</v>
      </c>
      <c r="O206" s="279"/>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74">
        <f>(IF(K210&lt;&gt;"",K210,H210)/IF(R210&lt;&gt;"",R210,O210)/IF(X210&lt;&gt;"",X210,U210))*2</f>
        <v>4.166666666666667</v>
      </c>
      <c r="AB210" s="27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77">
        <f>-$K$212*VLOOKUP(HdgDyreart,HdgType,8)*TranspGyllePrisEgen*DEAfsatEkstra12</f>
        <v>0</v>
      </c>
      <c r="O214" s="277"/>
      <c r="P214" s="26" t="s">
        <v>188</v>
      </c>
    </row>
    <row r="215" spans="3:30" ht="8.1" customHeight="1" x14ac:dyDescent="0.25"/>
    <row r="216" spans="3:30" x14ac:dyDescent="0.25">
      <c r="C216" s="15" t="s">
        <v>1701</v>
      </c>
      <c r="K216" s="15">
        <f>DEAfsatEkstra34</f>
        <v>0</v>
      </c>
      <c r="L216" s="15" t="s">
        <v>1469</v>
      </c>
      <c r="N216" s="277">
        <f>-$K$212*VLOOKUP(HdgDyreart,HdgType,8)*TranspGyllePrisEgen*DEAfsatEkstra34</f>
        <v>0</v>
      </c>
      <c r="O216" s="277"/>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77">
        <f>DEAfsatEkstra12*VLOOKUP(HdgDyreart,HdgType,8)*$K$220</f>
        <v>0</v>
      </c>
      <c r="O222" s="277"/>
      <c r="P222" s="26" t="s">
        <v>188</v>
      </c>
    </row>
    <row r="223" spans="3:30" ht="8.1" hidden="1" customHeight="1" x14ac:dyDescent="0.25">
      <c r="N223" s="26"/>
      <c r="O223" s="26"/>
      <c r="P223" s="26"/>
    </row>
    <row r="224" spans="3:30" hidden="1" x14ac:dyDescent="0.25">
      <c r="C224" s="15" t="s">
        <v>1712</v>
      </c>
      <c r="K224" s="15">
        <f>DEAfsatEkstra34</f>
        <v>0</v>
      </c>
      <c r="L224" s="15" t="s">
        <v>1469</v>
      </c>
      <c r="N224" s="277">
        <f>DEAfsatEkstra34*VLOOKUP(HdgDyreart,HdgType,8)*$K$220</f>
        <v>0</v>
      </c>
      <c r="O224" s="277"/>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7" t="s">
        <v>498</v>
      </c>
      <c r="K3" s="267"/>
      <c r="L3" s="267"/>
      <c r="M3" s="267"/>
      <c r="N3" s="267"/>
      <c r="O3" s="267"/>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78">
        <f>AN26*102</f>
        <v>0</v>
      </c>
      <c r="E27" s="278"/>
      <c r="F27" s="57" t="s">
        <v>1427</v>
      </c>
      <c r="G27" s="278">
        <f>AN26</f>
        <v>0</v>
      </c>
      <c r="H27" s="281"/>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78">
        <f>AS26*115</f>
        <v>0</v>
      </c>
      <c r="E29" s="278"/>
      <c r="F29" s="57" t="s">
        <v>1427</v>
      </c>
      <c r="G29" s="278">
        <f>AS26</f>
        <v>0</v>
      </c>
      <c r="H29" s="281"/>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78">
        <f>AQ26*113</f>
        <v>0</v>
      </c>
      <c r="E31" s="278"/>
      <c r="F31" s="57" t="s">
        <v>1427</v>
      </c>
      <c r="G31" s="278">
        <f>AQ26</f>
        <v>0</v>
      </c>
      <c r="H31" s="281"/>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78">
        <f>AR26*122</f>
        <v>0</v>
      </c>
      <c r="E33" s="278"/>
      <c r="F33" s="57" t="s">
        <v>1427</v>
      </c>
      <c r="G33" s="278">
        <f>AR26</f>
        <v>0</v>
      </c>
      <c r="H33" s="281"/>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78">
        <f>AO26*87</f>
        <v>0</v>
      </c>
      <c r="E35" s="278"/>
      <c r="F35" s="57" t="s">
        <v>1427</v>
      </c>
      <c r="G35" s="278">
        <f>AO26</f>
        <v>0</v>
      </c>
      <c r="H35" s="281"/>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78">
        <f>AP26*110</f>
        <v>0</v>
      </c>
      <c r="E37" s="278"/>
      <c r="F37" s="57" t="s">
        <v>1427</v>
      </c>
      <c r="G37" s="278">
        <f>AP26</f>
        <v>0</v>
      </c>
      <c r="H37" s="281"/>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77">
        <f>D27+D29+D31+D33+D35+D37</f>
        <v>0</v>
      </c>
      <c r="E39" s="277"/>
      <c r="F39" s="26" t="s">
        <v>1427</v>
      </c>
      <c r="G39" s="277">
        <f>G27+G29+G31+G33+G35+G37</f>
        <v>0</v>
      </c>
      <c r="H39" s="277"/>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4"/>
      <c r="I46" s="285"/>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4"/>
      <c r="I50" s="271"/>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4"/>
      <c r="I52" s="271"/>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4"/>
      <c r="I54" s="271"/>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77"/>
      <c r="I56" s="27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2"/>
      <c r="I58" s="283"/>
      <c r="J58" s="57" t="s">
        <v>37</v>
      </c>
      <c r="K58" s="278">
        <f>BygValsetBehovFEIalt/95</f>
        <v>0</v>
      </c>
      <c r="L58" s="278"/>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H58:I58"/>
    <mergeCell ref="K58:L58"/>
    <mergeCell ref="H46:I46"/>
    <mergeCell ref="H50:I50"/>
    <mergeCell ref="H52:I52"/>
    <mergeCell ref="H54:I54"/>
    <mergeCell ref="H56:I56"/>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90">
        <f>SUM(I12:I15)</f>
        <v>14300</v>
      </c>
      <c r="J16" s="290"/>
      <c r="K16" s="83" t="str">
        <f>IF(I16&lt;&gt;"","kr.","")</f>
        <v>kr.</v>
      </c>
      <c r="L16" s="83"/>
      <c r="M16" s="290">
        <f>SUM(M12:M15)</f>
        <v>0</v>
      </c>
      <c r="N16" s="290"/>
      <c r="O16" s="83" t="str">
        <f>IF(M16&lt;&gt;"","kr.","")</f>
        <v>kr.</v>
      </c>
      <c r="P16" s="83"/>
      <c r="Q16" s="290">
        <f>M16-I16</f>
        <v>-14300</v>
      </c>
      <c r="R16" s="293"/>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90">
        <f>SUM(I18:I21)</f>
        <v>-4084.75</v>
      </c>
      <c r="J22" s="290"/>
      <c r="K22" s="83" t="str">
        <f>IF(I22&lt;&gt;"","kr.","")</f>
        <v>kr.</v>
      </c>
      <c r="L22" s="83"/>
      <c r="M22" s="290">
        <f>SUM(M18:M21)</f>
        <v>0</v>
      </c>
      <c r="N22" s="290"/>
      <c r="O22" s="83" t="str">
        <f>IF(M22&lt;&gt;"","kr.","")</f>
        <v>kr.</v>
      </c>
      <c r="P22" s="83"/>
      <c r="Q22" s="290">
        <f>M22-I22</f>
        <v>4084.75</v>
      </c>
      <c r="R22" s="293"/>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90">
        <f>I16+I22</f>
        <v>10215.25</v>
      </c>
      <c r="J24" s="293"/>
      <c r="K24" s="83" t="str">
        <f>IF(I24&lt;&gt;"","kr.","")</f>
        <v>kr.</v>
      </c>
      <c r="L24" s="83"/>
      <c r="M24" s="290">
        <f>M16+M22</f>
        <v>0</v>
      </c>
      <c r="N24" s="293"/>
      <c r="O24" s="83" t="str">
        <f>IF(M24&lt;&gt;"","kr.","")</f>
        <v>kr.</v>
      </c>
      <c r="P24" s="83"/>
      <c r="Q24" s="290">
        <f>M24-I24</f>
        <v>-10215.25</v>
      </c>
      <c r="R24" s="293"/>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294"/>
      <c r="K26" s="77" t="str">
        <f>IF(I26&lt;&gt;"","kr.","")</f>
        <v>kr.</v>
      </c>
      <c r="L26" s="77"/>
      <c r="M26" s="286">
        <f>-Torring34</f>
        <v>0</v>
      </c>
      <c r="N26" s="294"/>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90">
        <f>I24+I26+I27</f>
        <v>6973.3857142857141</v>
      </c>
      <c r="J29" s="293"/>
      <c r="K29" s="83" t="str">
        <f>IF(I29&lt;&gt;"","kr.","")</f>
        <v>kr.</v>
      </c>
      <c r="L29" s="83"/>
      <c r="M29" s="290">
        <f>M24+M26+M27</f>
        <v>0</v>
      </c>
      <c r="N29" s="293"/>
      <c r="O29" s="83" t="str">
        <f>IF(M29&lt;&gt;"","kr.","")</f>
        <v>kr.</v>
      </c>
      <c r="P29" s="83"/>
      <c r="Q29" s="290">
        <f>M29-I29</f>
        <v>-6973.3857142857141</v>
      </c>
      <c r="R29" s="293"/>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90">
        <f>I29+I31</f>
        <v>5594.1357142857141</v>
      </c>
      <c r="J33" s="293"/>
      <c r="K33" s="83" t="str">
        <f>IF(I33&lt;&gt;"","kr.","")</f>
        <v>kr.</v>
      </c>
      <c r="L33" s="83"/>
      <c r="M33" s="290">
        <f>M29+M31</f>
        <v>0</v>
      </c>
      <c r="N33" s="293"/>
      <c r="O33" s="83" t="str">
        <f>IF(M33&lt;&gt;"","kr.","")</f>
        <v>kr.</v>
      </c>
      <c r="P33" s="83"/>
      <c r="Q33" s="290">
        <f>M33-I33</f>
        <v>-5594.1357142857141</v>
      </c>
      <c r="R33" s="293"/>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90">
        <f>I33+I35+I36</f>
        <v>5594.1357142857141</v>
      </c>
      <c r="J38" s="275"/>
      <c r="K38" s="83" t="str">
        <f>IF(I38&lt;&gt;"","kr.","")</f>
        <v>kr.</v>
      </c>
      <c r="L38" s="77"/>
      <c r="M38" s="290">
        <f>M33+M35+M36</f>
        <v>0</v>
      </c>
      <c r="N38" s="275"/>
      <c r="O38" s="83" t="str">
        <f>IF(M38&lt;&gt;"","kr.","")</f>
        <v>kr.</v>
      </c>
      <c r="P38" s="77"/>
      <c r="Q38" s="290">
        <f>M38-I38</f>
        <v>-5594.1357142857141</v>
      </c>
      <c r="R38" s="293"/>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6"/>
      <c r="K44" s="77" t="str">
        <f>IF(I44&lt;&gt;"","kr.","")</f>
        <v>kr.</v>
      </c>
      <c r="L44" s="83"/>
      <c r="M44" s="286">
        <f>-UdsaedMiljoEfgr34</f>
        <v>0</v>
      </c>
      <c r="N44" s="296"/>
      <c r="O44" s="77" t="str">
        <f>IF(M44&lt;&gt;"","kr.","")</f>
        <v>kr.</v>
      </c>
      <c r="P44" s="83"/>
      <c r="Q44" s="102"/>
      <c r="R44" s="103"/>
      <c r="S44" s="83"/>
    </row>
    <row r="45" spans="2:19" ht="12.75" customHeight="1" x14ac:dyDescent="0.25">
      <c r="B45" s="84" t="s">
        <v>3</v>
      </c>
      <c r="C45" s="77"/>
      <c r="D45" s="77"/>
      <c r="E45" s="77"/>
      <c r="F45" s="77"/>
      <c r="G45" s="77"/>
      <c r="H45" s="77"/>
      <c r="I45" s="286">
        <f>-PlantevMiljoEfgr12</f>
        <v>0</v>
      </c>
      <c r="J45" s="296"/>
      <c r="K45" s="77" t="str">
        <f>IF(I45&lt;&gt;"","kr.","")</f>
        <v>kr.</v>
      </c>
      <c r="L45" s="83"/>
      <c r="M45" s="286">
        <f>-PlantevMiljoEfgr34</f>
        <v>0</v>
      </c>
      <c r="N45" s="296"/>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6"/>
      <c r="K46" s="77" t="str">
        <f>IF(I46&lt;&gt;"","kr.","")</f>
        <v>kr.</v>
      </c>
      <c r="L46" s="83"/>
      <c r="M46" s="286">
        <f>-SaaningMiljoEfgr34</f>
        <v>0</v>
      </c>
      <c r="N46" s="296"/>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6"/>
      <c r="K47" s="77" t="str">
        <f>IF(I47&lt;&gt;"","kr.","")</f>
        <v>kr.</v>
      </c>
      <c r="L47" s="83"/>
      <c r="M47" s="286">
        <f>-NedmuldMiljoEfgr34</f>
        <v>0</v>
      </c>
      <c r="N47" s="296"/>
      <c r="O47" s="77" t="str">
        <f>IF(M47&lt;&gt;"","kr.","")</f>
        <v>kr.</v>
      </c>
      <c r="P47" s="83"/>
      <c r="Q47" s="102"/>
      <c r="R47" s="103"/>
      <c r="S47" s="83"/>
    </row>
    <row r="48" spans="2:19" ht="12.75" customHeight="1" x14ac:dyDescent="0.25">
      <c r="B48" s="103" t="s">
        <v>1812</v>
      </c>
      <c r="C48" s="77"/>
      <c r="D48" s="77"/>
      <c r="E48" s="77"/>
      <c r="F48" s="77"/>
      <c r="G48" s="77"/>
      <c r="H48" s="77"/>
      <c r="I48" s="290">
        <f>I44+I45+I46+I47</f>
        <v>0</v>
      </c>
      <c r="J48" s="262"/>
      <c r="K48" s="83" t="str">
        <f>IF(I48&lt;&gt;"","kr.","")</f>
        <v>kr.</v>
      </c>
      <c r="L48" s="83"/>
      <c r="M48" s="290">
        <f>M44+M45+M46+M47</f>
        <v>0</v>
      </c>
      <c r="N48" s="262"/>
      <c r="O48" s="83" t="str">
        <f>IF(M48&lt;&gt;"","kr.","")</f>
        <v>kr.</v>
      </c>
      <c r="P48" s="83"/>
      <c r="Q48" s="290">
        <f>(M48-I48)</f>
        <v>0</v>
      </c>
      <c r="R48" s="262"/>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90">
        <f>SUM(I55:J63)</f>
        <v>-3940.7142857142853</v>
      </c>
      <c r="J64" s="293"/>
      <c r="K64" s="83" t="str">
        <f t="shared" si="0"/>
        <v>kr.</v>
      </c>
      <c r="L64" s="77"/>
      <c r="M64" s="290">
        <f>SUM(M55:N63)</f>
        <v>0</v>
      </c>
      <c r="N64" s="293"/>
      <c r="O64" s="83" t="str">
        <f t="shared" si="1"/>
        <v>kr.</v>
      </c>
      <c r="P64" s="77"/>
      <c r="Q64" s="290">
        <f>(M64-I64)</f>
        <v>3940.7142857142853</v>
      </c>
      <c r="R64" s="290"/>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9" t="s">
        <v>1852</v>
      </c>
      <c r="J74" s="262"/>
      <c r="K74" s="262"/>
      <c r="L74" s="100" t="s">
        <v>84</v>
      </c>
      <c r="M74" s="77"/>
      <c r="N74" s="297" t="s">
        <v>1854</v>
      </c>
      <c r="O74" s="298"/>
      <c r="P74" s="298"/>
      <c r="Q74" s="297" t="s">
        <v>1853</v>
      </c>
      <c r="R74" s="298"/>
      <c r="S74" s="298"/>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5"/>
      <c r="P75" s="77" t="str">
        <f>IF(Regn!BK34=0,"",Regn!BK34)</f>
        <v>hkg</v>
      </c>
      <c r="Q75" s="286">
        <f>IF(Regn!E34=1,"",Regn!NS34)</f>
        <v>10215.25</v>
      </c>
      <c r="R75" s="295"/>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5"/>
      <c r="P76" s="77" t="str">
        <f>IF(Regn!BK36=0,"",Regn!BK36)</f>
        <v>hkg</v>
      </c>
      <c r="Q76" s="286">
        <f>IF(Regn!E36=1,"",Regn!NS36)</f>
        <v>11783.310150000001</v>
      </c>
      <c r="R76" s="295"/>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5"/>
      <c r="P77" s="77" t="str">
        <f>IF(Regn!BK38=0,"",Regn!BK38)</f>
        <v/>
      </c>
      <c r="Q77" s="286" t="str">
        <f>IF(Regn!E38=1,"",Regn!NS38)</f>
        <v/>
      </c>
      <c r="R77" s="295"/>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5"/>
      <c r="P78" s="77" t="str">
        <f>IF(Regn!BK40=0,"",Regn!BK40)</f>
        <v/>
      </c>
      <c r="Q78" s="286" t="str">
        <f>IF(Regn!E40=1,"",Regn!NS40)</f>
        <v/>
      </c>
      <c r="R78" s="295"/>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5"/>
      <c r="P79" s="77" t="str">
        <f>IF(Regn!BK42=0,"",Regn!BK42)</f>
        <v/>
      </c>
      <c r="Q79" s="286" t="str">
        <f>IF(Regn!E42=1,"",Regn!NS42)</f>
        <v/>
      </c>
      <c r="R79" s="295"/>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5"/>
      <c r="P80" s="77" t="str">
        <f>IF(Regn!BK44=0,"",Regn!BK44)</f>
        <v/>
      </c>
      <c r="Q80" s="286" t="str">
        <f>IF(Regn!E44=1,"",Regn!NS44)</f>
        <v/>
      </c>
      <c r="R80" s="295"/>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5"/>
      <c r="P81" s="77" t="str">
        <f>IF(Regn!BK46=0,"",Regn!BK46)</f>
        <v/>
      </c>
      <c r="Q81" s="286" t="str">
        <f>IF(Regn!E46=1,"",Regn!NS46)</f>
        <v/>
      </c>
      <c r="R81" s="295"/>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5"/>
      <c r="P82" s="77" t="str">
        <f>IF(Regn!BK48=0,"",Regn!BK48)</f>
        <v/>
      </c>
      <c r="Q82" s="286" t="str">
        <f>IF(Regn!E48=1,"",Regn!NS48)</f>
        <v/>
      </c>
      <c r="R82" s="295"/>
      <c r="S82" s="77" t="str">
        <f t="shared" si="5"/>
        <v/>
      </c>
    </row>
    <row r="83" spans="2:19" ht="15" x14ac:dyDescent="0.25">
      <c r="B83" s="136"/>
      <c r="C83" s="77"/>
      <c r="D83" s="77"/>
      <c r="E83" s="77"/>
      <c r="F83" s="77"/>
      <c r="G83" s="77"/>
      <c r="H83" s="77"/>
      <c r="I83" s="77"/>
      <c r="J83" s="122"/>
      <c r="K83" s="300"/>
      <c r="L83" s="301"/>
      <c r="M83" s="83"/>
      <c r="N83" s="121"/>
      <c r="O83" s="137" t="s">
        <v>1870</v>
      </c>
      <c r="P83" s="77"/>
      <c r="Q83" s="290">
        <f>DBgns1</f>
        <v>10215.25</v>
      </c>
      <c r="R83" s="27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9" t="str">
        <f>IF(DyrkAreal2=0,"","Efterafgrøde E
Mellemafgr. M")</f>
        <v/>
      </c>
      <c r="J87" s="262"/>
      <c r="K87" s="262"/>
      <c r="L87" s="100" t="str">
        <f>IF(DyrkAreal2=0,"","Areal")</f>
        <v/>
      </c>
      <c r="M87" s="77"/>
      <c r="N87" s="297" t="str">
        <f>IF(DyrkAreal2=0,"","Udbytte pr. ha")</f>
        <v/>
      </c>
      <c r="O87" s="298"/>
      <c r="P87" s="298"/>
      <c r="Q87" s="297" t="str">
        <f>IF(DyrkAreal2=0,"","Dæknings-
bidrag")</f>
        <v/>
      </c>
      <c r="R87" s="298"/>
      <c r="S87" s="298"/>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5"/>
      <c r="P88" s="77" t="str">
        <f>IF(Regn!BK56=0,"",Regn!BK56)</f>
        <v/>
      </c>
      <c r="Q88" s="286" t="str">
        <f>IF(Regn!E56=1,"",Regn!NS56)</f>
        <v/>
      </c>
      <c r="R88" s="295"/>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5"/>
      <c r="P89" s="77" t="str">
        <f>IF(Regn!BK58=0,"",Regn!BK58)</f>
        <v/>
      </c>
      <c r="Q89" s="286" t="str">
        <f>IF(Regn!E58=1,"",Regn!NS58)</f>
        <v/>
      </c>
      <c r="R89" s="295"/>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5"/>
      <c r="P90" s="77" t="str">
        <f>IF(Regn!BK60=0,"",Regn!BK60)</f>
        <v/>
      </c>
      <c r="Q90" s="286" t="str">
        <f>IF(Regn!E60=1,"",Regn!NS60)</f>
        <v/>
      </c>
      <c r="R90" s="295"/>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5"/>
      <c r="P91" s="77" t="str">
        <f>IF(Regn!BK62=0,"",Regn!BK62)</f>
        <v/>
      </c>
      <c r="Q91" s="286" t="str">
        <f>IF(Regn!E62=1,"",Regn!NS62)</f>
        <v/>
      </c>
      <c r="R91" s="295"/>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5"/>
      <c r="P92" s="77" t="str">
        <f>IF(Regn!BK64=0,"",Regn!BK64)</f>
        <v/>
      </c>
      <c r="Q92" s="286" t="str">
        <f>IF(Regn!E64=1,"",Regn!NS64)</f>
        <v/>
      </c>
      <c r="R92" s="295"/>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5"/>
      <c r="P93" s="77" t="str">
        <f>IF(Regn!BK66=0,"",Regn!BK66)</f>
        <v/>
      </c>
      <c r="Q93" s="286" t="str">
        <f>IF(Regn!E66=1,"",Regn!NS66)</f>
        <v/>
      </c>
      <c r="R93" s="295"/>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5"/>
      <c r="P94" s="77" t="str">
        <f>IF(Regn!BK68=0,"",Regn!BK68)</f>
        <v/>
      </c>
      <c r="Q94" s="286" t="str">
        <f>IF(Regn!E68=1,"",Regn!NS68)</f>
        <v/>
      </c>
      <c r="R94" s="295"/>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5"/>
      <c r="P95" s="77" t="str">
        <f>IF(Regn!BK70=0,"",Regn!BK70)</f>
        <v/>
      </c>
      <c r="Q95" s="286" t="str">
        <f>IF(Regn!E70=1,"",Regn!NS70)</f>
        <v/>
      </c>
      <c r="R95" s="295"/>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90" t="str">
        <f>IF(DyrkAreal2=0,"",DBgns2)</f>
        <v/>
      </c>
      <c r="R96" s="27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9" t="s">
        <v>1852</v>
      </c>
      <c r="J101" s="262"/>
      <c r="K101" s="262"/>
      <c r="L101" s="100" t="s">
        <v>84</v>
      </c>
      <c r="M101" s="77"/>
      <c r="N101" s="297" t="s">
        <v>1854</v>
      </c>
      <c r="O101" s="298"/>
      <c r="P101" s="298"/>
      <c r="Q101" s="297" t="s">
        <v>1853</v>
      </c>
      <c r="R101" s="298"/>
      <c r="S101" s="298"/>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5"/>
      <c r="P102" s="77" t="str">
        <f>IF(Regn!BK116=0,"",Regn!BK116)</f>
        <v/>
      </c>
      <c r="Q102" s="286" t="str">
        <f>IF(Regn!E116=1,"",Regn!NS116)</f>
        <v/>
      </c>
      <c r="R102" s="295"/>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5"/>
      <c r="P103" s="77" t="str">
        <f>IF(Regn!BK118=0,"",Regn!BK118)</f>
        <v/>
      </c>
      <c r="Q103" s="286" t="str">
        <f>IF(Regn!E118=1,"",Regn!NS118)</f>
        <v/>
      </c>
      <c r="R103" s="295"/>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5"/>
      <c r="P104" s="77" t="str">
        <f>IF(Regn!BK120=0,"",Regn!BK120)</f>
        <v/>
      </c>
      <c r="Q104" s="286" t="str">
        <f>IF(Regn!E120=1,"",Regn!NS120)</f>
        <v/>
      </c>
      <c r="R104" s="295"/>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5"/>
      <c r="P105" s="77" t="str">
        <f>IF(Regn!BK122=0,"",Regn!BK122)</f>
        <v/>
      </c>
      <c r="Q105" s="286" t="str">
        <f>IF(Regn!E122=1,"",Regn!NS122)</f>
        <v/>
      </c>
      <c r="R105" s="295"/>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5"/>
      <c r="P106" s="77" t="str">
        <f>IF(Regn!BK124=0,"",Regn!BK124)</f>
        <v/>
      </c>
      <c r="Q106" s="286" t="str">
        <f>IF(Regn!E124=1,"",Regn!NS124)</f>
        <v/>
      </c>
      <c r="R106" s="295"/>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5"/>
      <c r="P107" s="77" t="str">
        <f>IF(Regn!BK126=0,"",Regn!BK126)</f>
        <v/>
      </c>
      <c r="Q107" s="286" t="str">
        <f>IF(Regn!E126=1,"",Regn!NS126)</f>
        <v/>
      </c>
      <c r="R107" s="295"/>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5"/>
      <c r="P108" s="77" t="str">
        <f>IF(Regn!BK128=0,"",Regn!BK128)</f>
        <v/>
      </c>
      <c r="Q108" s="286" t="str">
        <f>IF(Regn!E128=1,"",Regn!NS128)</f>
        <v/>
      </c>
      <c r="R108" s="295"/>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5"/>
      <c r="P109" s="77" t="str">
        <f>IF(Regn!BK130=0,"",Regn!BK130)</f>
        <v/>
      </c>
      <c r="Q109" s="286" t="str">
        <f>IF(Regn!E130=1,"",Regn!NS130)</f>
        <v/>
      </c>
      <c r="R109" s="295"/>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90" t="str">
        <f>IF(DyrkAreal3=0,"",DBgns3)</f>
        <v/>
      </c>
      <c r="R110" s="27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9" t="str">
        <f>IF(DyrkAreal4=0,"","Efterafgrøde E
Mellemafgr. M")</f>
        <v/>
      </c>
      <c r="J113" s="262"/>
      <c r="K113" s="262"/>
      <c r="L113" s="100" t="str">
        <f>IF(DyrkAreal4=0,"","Areal")</f>
        <v/>
      </c>
      <c r="M113" s="77"/>
      <c r="N113" s="297" t="str">
        <f>IF(DyrkAreal4=0,"","Udbytte pr. ha")</f>
        <v/>
      </c>
      <c r="O113" s="298"/>
      <c r="P113" s="298"/>
      <c r="Q113" s="297" t="str">
        <f>IF(DyrkAreal4=0,"","Dæknings-
bidrag")</f>
        <v/>
      </c>
      <c r="R113" s="298"/>
      <c r="S113" s="298"/>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5"/>
      <c r="P114" s="77" t="str">
        <f>IF(Regn!BK138=0,"",Regn!BK138)</f>
        <v/>
      </c>
      <c r="Q114" s="286" t="str">
        <f>IF(Regn!E138=1,"",Regn!NS138)</f>
        <v/>
      </c>
      <c r="R114" s="295"/>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5"/>
      <c r="P115" s="77" t="str">
        <f>IF(Regn!BK140=0,"",Regn!BK140)</f>
        <v/>
      </c>
      <c r="Q115" s="286" t="str">
        <f>IF(Regn!E140=1,"",Regn!NS140)</f>
        <v/>
      </c>
      <c r="R115" s="295"/>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5"/>
      <c r="P116" s="77" t="str">
        <f>IF(Regn!BK142=0,"",Regn!BK142)</f>
        <v/>
      </c>
      <c r="Q116" s="286" t="str">
        <f>IF(Regn!E142=1,"",Regn!NS142)</f>
        <v/>
      </c>
      <c r="R116" s="295"/>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5"/>
      <c r="P117" s="77" t="str">
        <f>IF(Regn!BK144=0,"",Regn!BK144)</f>
        <v/>
      </c>
      <c r="Q117" s="286" t="str">
        <f>IF(Regn!E144=1,"",Regn!NS144)</f>
        <v/>
      </c>
      <c r="R117" s="295"/>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5"/>
      <c r="P118" s="77" t="str">
        <f>IF(Regn!BK146=0,"",Regn!BK146)</f>
        <v/>
      </c>
      <c r="Q118" s="286" t="str">
        <f>IF(Regn!E146=1,"",Regn!NS146)</f>
        <v/>
      </c>
      <c r="R118" s="295"/>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5"/>
      <c r="P119" s="77" t="str">
        <f>IF(Regn!BK148=0,"",Regn!BK148)</f>
        <v/>
      </c>
      <c r="Q119" s="286" t="str">
        <f>IF(Regn!E148=1,"",Regn!NS148)</f>
        <v/>
      </c>
      <c r="R119" s="295"/>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5"/>
      <c r="P120" s="77" t="str">
        <f>IF(Regn!BK150=0,"",Regn!BK150)</f>
        <v/>
      </c>
      <c r="Q120" s="286" t="str">
        <f>IF(Regn!E150=1,"",Regn!NS150)</f>
        <v/>
      </c>
      <c r="R120" s="295"/>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5"/>
      <c r="P121" s="77" t="str">
        <f>IF(Regn!BK152=0,"",Regn!BK152)</f>
        <v/>
      </c>
      <c r="Q121" s="286" t="str">
        <f>IF(Regn!E152=1,"",Regn!NS152)</f>
        <v/>
      </c>
      <c r="R121" s="295"/>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90" t="str">
        <f>IF(DyrkAreal4=0,"",DBgns4)</f>
        <v/>
      </c>
      <c r="R122" s="27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87">
        <f>DyrkAreal12</f>
        <v>1</v>
      </c>
      <c r="L134" s="262"/>
      <c r="M134" s="77" t="s">
        <v>85</v>
      </c>
      <c r="N134" s="77"/>
      <c r="O134" s="77"/>
      <c r="P134" s="287">
        <f>DyrkAreal34</f>
        <v>0</v>
      </c>
      <c r="Q134" s="262"/>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87">
        <f>Vadomradeareal12</f>
        <v>0</v>
      </c>
      <c r="L138" s="262"/>
      <c r="M138" s="77" t="s">
        <v>85</v>
      </c>
      <c r="N138" s="77"/>
      <c r="O138" s="77"/>
      <c r="P138" s="287">
        <f>Vadomradeareal34</f>
        <v>0</v>
      </c>
      <c r="Q138" s="262"/>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87">
        <f>Harmoniareal12</f>
        <v>1</v>
      </c>
      <c r="L140" s="262"/>
      <c r="M140" s="77" t="s">
        <v>85</v>
      </c>
      <c r="N140" s="77"/>
      <c r="O140" s="77"/>
      <c r="P140" s="287">
        <f>Harmoniareal34</f>
        <v>0</v>
      </c>
      <c r="Q140" s="262"/>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87">
        <f>DEAfsatEkstra12</f>
        <v>0</v>
      </c>
      <c r="L144" s="262"/>
      <c r="M144" s="77" t="s">
        <v>1469</v>
      </c>
      <c r="N144" s="77"/>
      <c r="O144" s="77"/>
      <c r="P144" s="287">
        <f>DEAfsatEkstra34</f>
        <v>0</v>
      </c>
      <c r="Q144" s="262"/>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302"/>
      <c r="M153" s="77" t="s">
        <v>82</v>
      </c>
      <c r="N153" s="77">
        <f>EfgrErstatKvoteReduk34</f>
        <v>0</v>
      </c>
      <c r="O153" s="77" t="s">
        <v>85</v>
      </c>
      <c r="P153" s="289">
        <f>KvoteReduk34</f>
        <v>0</v>
      </c>
      <c r="Q153" s="302"/>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302"/>
      <c r="M155" s="77" t="s">
        <v>82</v>
      </c>
      <c r="N155" s="77">
        <f>EfgrEkstraKvoteTillaeg34</f>
        <v>0</v>
      </c>
      <c r="O155" s="77" t="s">
        <v>85</v>
      </c>
      <c r="P155" s="289">
        <f>KvoteTillaeg34</f>
        <v>0</v>
      </c>
      <c r="Q155" s="302"/>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88"/>
      <c r="M161" s="77" t="s">
        <v>82</v>
      </c>
      <c r="N161" s="77"/>
      <c r="O161" s="77"/>
      <c r="P161" s="286">
        <f>P159-(P163*UdnKrav*0.01)</f>
        <v>0</v>
      </c>
      <c r="Q161" s="288"/>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88"/>
      <c r="M163" s="77" t="s">
        <v>82</v>
      </c>
      <c r="N163" s="77"/>
      <c r="O163" s="77"/>
      <c r="P163" s="286">
        <f>HdgAnvendtIalt34+HdgEfgrAnvendtIalt34</f>
        <v>0</v>
      </c>
      <c r="Q163" s="288"/>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87">
        <f>EfgrGrundareal12</f>
        <v>1</v>
      </c>
      <c r="L169" s="262"/>
      <c r="M169" s="77" t="s">
        <v>85</v>
      </c>
      <c r="N169" s="77"/>
      <c r="O169" s="77"/>
      <c r="P169" s="287">
        <f>EfgrGrundareal34</f>
        <v>0</v>
      </c>
      <c r="Q169" s="262"/>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87">
        <f>IF(Regler12=1,EfgrKrav2010Ialtha12,EfgrKravIaltHa12)</f>
        <v>0</v>
      </c>
      <c r="L171" s="262"/>
      <c r="M171" s="77" t="s">
        <v>85</v>
      </c>
      <c r="N171" s="77">
        <f>IF(Regler34=1,EfgrKrav2010IaltPct34,EfgrKravIaltPct34)</f>
        <v>0</v>
      </c>
      <c r="O171" s="77" t="s">
        <v>205</v>
      </c>
      <c r="P171" s="287">
        <f>IF(Regler34=1,EfgrKrav2010Ialtha34,EfgrKravIaltHa34)</f>
        <v>0</v>
      </c>
      <c r="Q171" s="262"/>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87">
        <f>MellemafgrAreal12</f>
        <v>0</v>
      </c>
      <c r="J177" s="262"/>
      <c r="K177" s="77" t="s">
        <v>85</v>
      </c>
      <c r="L177" s="97">
        <f>I177*Efgrkonst</f>
        <v>0</v>
      </c>
      <c r="M177" s="77" t="s">
        <v>85</v>
      </c>
      <c r="N177" s="287">
        <f>MellemafgrAreal34</f>
        <v>0</v>
      </c>
      <c r="O177" s="262"/>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87">
        <f>EnergiafgrAreal12</f>
        <v>0</v>
      </c>
      <c r="J179" s="262"/>
      <c r="K179" s="77" t="s">
        <v>85</v>
      </c>
      <c r="L179" s="97">
        <f>I179*Mlafgrkonst</f>
        <v>0</v>
      </c>
      <c r="M179" s="77" t="s">
        <v>85</v>
      </c>
      <c r="N179" s="287">
        <f>EnergiafgrAreal34</f>
        <v>0</v>
      </c>
      <c r="O179" s="291"/>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87">
        <f>EfgrOverfort12</f>
        <v>0</v>
      </c>
      <c r="J181" s="262"/>
      <c r="K181" s="77" t="s">
        <v>85</v>
      </c>
      <c r="L181" s="97">
        <f>EfgrOverfort12</f>
        <v>0</v>
      </c>
      <c r="M181" s="77" t="s">
        <v>85</v>
      </c>
      <c r="N181" s="287">
        <f>EfgrOverfort34</f>
        <v>0</v>
      </c>
      <c r="O181" s="262"/>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62"/>
      <c r="K183" s="77" t="s">
        <v>82</v>
      </c>
      <c r="L183" s="97">
        <f>Mark!Q88</f>
        <v>0</v>
      </c>
      <c r="M183" s="77" t="s">
        <v>85</v>
      </c>
      <c r="N183" s="286">
        <f>Mark!M170</f>
        <v>0</v>
      </c>
      <c r="O183" s="288"/>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87">
        <f>L185-K171</f>
        <v>0</v>
      </c>
      <c r="L187" s="262"/>
      <c r="M187" s="77" t="s">
        <v>85</v>
      </c>
      <c r="N187" s="77"/>
      <c r="O187" s="77"/>
      <c r="P187" s="287">
        <f>Q185-P171</f>
        <v>0</v>
      </c>
      <c r="Q187" s="262"/>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90">
        <f>I194+I196</f>
        <v>0</v>
      </c>
      <c r="J198" s="290"/>
      <c r="K198" s="83" t="str">
        <f>IF(I198&lt;&gt;"","kr.","")</f>
        <v>kr.</v>
      </c>
      <c r="L198" s="83"/>
      <c r="M198" s="290">
        <f>M194+M196</f>
        <v>0</v>
      </c>
      <c r="N198" s="290"/>
      <c r="O198" s="83" t="str">
        <f>IF(M198&lt;&gt;"","kr.","")</f>
        <v>kr.</v>
      </c>
      <c r="P198" s="83"/>
      <c r="Q198" s="290">
        <f>-(I198-M198)</f>
        <v>0</v>
      </c>
      <c r="R198" s="290"/>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62"/>
      <c r="G210" s="77" t="s">
        <v>1184</v>
      </c>
      <c r="H210" s="77"/>
      <c r="I210" s="77"/>
      <c r="J210" s="77"/>
      <c r="K210" s="77"/>
      <c r="L210" s="77"/>
      <c r="M210" s="286">
        <f>Husdyr!AK19</f>
        <v>0</v>
      </c>
      <c r="N210" s="291"/>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1"/>
      <c r="G212" s="77" t="s">
        <v>1186</v>
      </c>
      <c r="H212" s="77">
        <f>Husdyr!J21</f>
        <v>7.4</v>
      </c>
      <c r="I212" s="77" t="s">
        <v>192</v>
      </c>
      <c r="J212" s="77">
        <f>Husdyr!L21</f>
        <v>32</v>
      </c>
      <c r="K212" s="77" t="s">
        <v>192</v>
      </c>
      <c r="L212" s="77"/>
      <c r="M212" s="286">
        <f>Husdyr!AK21</f>
        <v>0</v>
      </c>
      <c r="N212" s="291"/>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1"/>
      <c r="G214" s="77" t="s">
        <v>1186</v>
      </c>
      <c r="H214" s="77">
        <f>Husdyr!J23</f>
        <v>32</v>
      </c>
      <c r="I214" s="77" t="s">
        <v>192</v>
      </c>
      <c r="J214" s="77">
        <f>Husdyr!L23</f>
        <v>107</v>
      </c>
      <c r="K214" s="77" t="s">
        <v>192</v>
      </c>
      <c r="L214" s="77"/>
      <c r="M214" s="286">
        <f>Husdyr!AK23</f>
        <v>0</v>
      </c>
      <c r="N214" s="291"/>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90">
        <f>FoderkornBehovFEsvIalt</f>
        <v>0</v>
      </c>
      <c r="N216" s="291"/>
      <c r="O216" s="83" t="s">
        <v>1427</v>
      </c>
      <c r="P216" s="94"/>
      <c r="Q216" s="290">
        <f>FoderkornBehovHkgIalt</f>
        <v>0</v>
      </c>
      <c r="R216" s="290"/>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3" t="str">
        <f>IF(G218="","",VLOOKUP(Husdyr!AJ46,Kvaegrace,2))</f>
        <v/>
      </c>
      <c r="F218" s="303"/>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1"/>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1"/>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1"/>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90">
        <f>GrovfoderBehovFEIalt</f>
        <v>0</v>
      </c>
      <c r="N226" s="291"/>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304"/>
      <c r="O228" s="77" t="s">
        <v>37</v>
      </c>
      <c r="P228" s="77"/>
      <c r="Q228" s="286">
        <f>BygValsetBehovHkgIalt</f>
        <v>0</v>
      </c>
      <c r="R228" s="304"/>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1"/>
      <c r="K248" s="77" t="s">
        <v>46</v>
      </c>
      <c r="L248" s="77"/>
      <c r="M248" s="286">
        <f>Q216-M234</f>
        <v>0</v>
      </c>
      <c r="N248" s="291"/>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1"/>
      <c r="K250" s="77" t="s">
        <v>46</v>
      </c>
      <c r="L250" s="77"/>
      <c r="M250" s="286">
        <f>Q228-M236</f>
        <v>0</v>
      </c>
      <c r="N250" s="291"/>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1"/>
      <c r="K252" s="77" t="s">
        <v>37</v>
      </c>
      <c r="L252" s="77"/>
      <c r="M252" s="286">
        <f>GrovfoderBehovFEIalt-GrovfoderIalt34</f>
        <v>0</v>
      </c>
      <c r="N252" s="291"/>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90">
        <f>I258+I260+I262</f>
        <v>0</v>
      </c>
      <c r="J264" s="292"/>
      <c r="K264" s="83" t="s">
        <v>188</v>
      </c>
      <c r="L264" s="77"/>
      <c r="M264" s="290">
        <f>M258+M260+M262</f>
        <v>0</v>
      </c>
      <c r="N264" s="292"/>
      <c r="O264" s="83" t="s">
        <v>188</v>
      </c>
      <c r="P264" s="77"/>
      <c r="Q264" s="290">
        <f>-(Handelsomk12-Handelsomk34)</f>
        <v>0</v>
      </c>
      <c r="R264" s="290"/>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93">
        <f>I274*ProtVaerdiKg</f>
        <v>0</v>
      </c>
      <c r="J276" s="293"/>
      <c r="K276" s="83" t="s">
        <v>188</v>
      </c>
      <c r="L276" s="77"/>
      <c r="M276" s="293">
        <f>M274*ProtVaerdiKg</f>
        <v>0</v>
      </c>
      <c r="N276" s="293"/>
      <c r="O276" s="83" t="s">
        <v>188</v>
      </c>
      <c r="P276" s="77"/>
      <c r="Q276" s="290">
        <f>-(ProteinTab12-ProteinTab34)</f>
        <v>0</v>
      </c>
      <c r="R276" s="290"/>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90">
        <f>Q288+Q290+Q292+Q294</f>
        <v>-6973.3857142857141</v>
      </c>
      <c r="R296" s="290"/>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90">
        <f>Nudledning12</f>
        <v>27.365392048378162</v>
      </c>
      <c r="J311" s="290"/>
      <c r="K311" s="83" t="s">
        <v>82</v>
      </c>
      <c r="L311" s="83"/>
      <c r="M311" s="290">
        <f>Nudledning34</f>
        <v>0</v>
      </c>
      <c r="N311" s="290"/>
      <c r="O311" s="83" t="s">
        <v>82</v>
      </c>
      <c r="P311" s="83"/>
      <c r="Q311" s="290">
        <f>I311-M311</f>
        <v>27.365392048378162</v>
      </c>
      <c r="R311" s="293"/>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90">
        <f>IF(ISERROR(TabIaltKr/ReducUdledIaltKgN),"",TabIaltKr/ReducUdledIaltKgN)</f>
        <v>-254.82498850949219</v>
      </c>
      <c r="Q313" s="262"/>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I323:J323"/>
    <mergeCell ref="I309:J309"/>
    <mergeCell ref="I311:J311"/>
    <mergeCell ref="I303:J303"/>
    <mergeCell ref="I305:J305"/>
    <mergeCell ref="I307:J307"/>
    <mergeCell ref="I321:J321"/>
    <mergeCell ref="I319:J319"/>
    <mergeCell ref="I317:J317"/>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Q12:R12"/>
    <mergeCell ref="Q13:R13"/>
    <mergeCell ref="Q14:R14"/>
    <mergeCell ref="Q15:R15"/>
    <mergeCell ref="Q22:R22"/>
    <mergeCell ref="Q24:R24"/>
    <mergeCell ref="Q29:R29"/>
    <mergeCell ref="Q33:R33"/>
    <mergeCell ref="Q16:R16"/>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N177:O177"/>
    <mergeCell ref="N179:O179"/>
    <mergeCell ref="N181:O181"/>
    <mergeCell ref="N183:O183"/>
    <mergeCell ref="P171:Q171"/>
    <mergeCell ref="M260:N260"/>
    <mergeCell ref="M262:N262"/>
    <mergeCell ref="M264:N264"/>
    <mergeCell ref="M270:N270"/>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17" activePane="bottomRight" state="frozen"/>
      <selection pane="topRight" activeCell="D1" sqref="D1"/>
      <selection pane="bottomLeft" activeCell="A17" sqref="A17"/>
      <selection pane="bottomRight" activeCell="W6" sqref="W6"/>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9" t="s">
        <v>2345</v>
      </c>
      <c r="E5" s="312"/>
      <c r="F5" s="312"/>
      <c r="G5" s="312"/>
      <c r="H5" s="313"/>
      <c r="J5" s="15" t="s">
        <v>1823</v>
      </c>
      <c r="L5" s="269" t="s">
        <v>2346</v>
      </c>
      <c r="M5" s="312"/>
      <c r="N5" s="312"/>
      <c r="O5" s="313"/>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61" t="str">
        <f>"Husdyrgødning
efterår "&amp;Hostaar-1&amp;" "
&amp;"(total-N)"</f>
        <v>Husdyrgødning
efterår 2012 (total-N)</v>
      </c>
      <c r="BI15" s="305"/>
      <c r="BJ15" s="213"/>
      <c r="BK15" s="213"/>
      <c r="BM15" s="261" t="str">
        <f>"Husdyrgødning
udbragt "&amp;Hostaar&amp;" "
&amp;"(total-N)"</f>
        <v>Husdyrgødning
udbragt 2013 (total-N)</v>
      </c>
      <c r="BN15" s="305"/>
      <c r="BS15" s="261" t="str">
        <f>"Husdyrgødning "
&amp;
"afsat på græs "&amp;Hostaar&amp;" (total-N)"</f>
        <v>Husdyrgødning afsat på græs 2013 (total-N)</v>
      </c>
      <c r="BT15" s="306"/>
      <c r="BU15" s="306"/>
      <c r="BW15" s="261" t="str">
        <f>"Husdyrgødning efterår "&amp;Hostaar
&amp;
" (total-N)"</f>
        <v>Husdyrgødning efterår 2013 (total-N)</v>
      </c>
      <c r="BX15" s="305"/>
      <c r="BY15" s="213"/>
      <c r="BZ15" s="213"/>
      <c r="CA15" s="213"/>
      <c r="DU15" s="26" t="s">
        <v>1844</v>
      </c>
      <c r="DZ15" s="26" t="s">
        <v>2242</v>
      </c>
      <c r="ER15" s="261" t="str">
        <f>"Husdyrgødning "
&amp;
"afsat på græs "&amp;Hostaar&amp;" (total-N)"</f>
        <v>Husdyrgødning afsat på græs 2013 (total-N)</v>
      </c>
      <c r="ES15" s="305"/>
      <c r="ET15" s="305"/>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14" t="s">
        <v>76</v>
      </c>
      <c r="K16" s="309"/>
      <c r="L16" s="309"/>
      <c r="M16" s="309"/>
      <c r="N16" s="307" t="s">
        <v>79</v>
      </c>
      <c r="O16" s="308"/>
      <c r="P16" s="308"/>
      <c r="Q16" s="309"/>
      <c r="R16" s="224" t="s">
        <v>1350</v>
      </c>
      <c r="S16" s="215"/>
      <c r="T16" s="315" t="s">
        <v>28</v>
      </c>
      <c r="U16" s="315"/>
      <c r="V16" s="315"/>
      <c r="W16" s="315"/>
      <c r="X16" s="307" t="s">
        <v>1543</v>
      </c>
      <c r="Y16" s="308"/>
      <c r="Z16" s="308"/>
      <c r="AA16" s="309"/>
      <c r="AB16" s="260" t="s">
        <v>83</v>
      </c>
      <c r="AC16" s="260"/>
      <c r="AD16" s="260"/>
      <c r="AE16" s="262"/>
      <c r="AG16" s="26" t="s">
        <v>84</v>
      </c>
      <c r="AJ16" s="209" t="s">
        <v>2255</v>
      </c>
      <c r="AL16" s="26" t="s">
        <v>28</v>
      </c>
      <c r="AN16" s="261" t="s">
        <v>86</v>
      </c>
      <c r="AO16" s="260"/>
      <c r="AP16" s="203"/>
      <c r="AQ16" s="261" t="str">
        <f>"Handelsgødning
efterår "&amp;Hostaar-1</f>
        <v>Handelsgødning
efterår 2012</v>
      </c>
      <c r="AR16" s="260"/>
      <c r="AS16" s="203"/>
      <c r="AT16" s="261" t="str">
        <f>"Handelsgødning
forår "&amp;Hostaar</f>
        <v>Handelsgødning
forår 2013</v>
      </c>
      <c r="AU16" s="260"/>
      <c r="AW16" s="213"/>
      <c r="AX16" s="261" t="str">
        <f>"Handelsgødning
efterår "&amp;Hostaar</f>
        <v>Handelsgødning
efterår 2013</v>
      </c>
      <c r="AY16" s="261"/>
      <c r="AZ16" s="209"/>
      <c r="BA16" s="261" t="s">
        <v>2244</v>
      </c>
      <c r="BB16" s="305"/>
      <c r="BD16" s="261" t="s">
        <v>2245</v>
      </c>
      <c r="BE16" s="305"/>
      <c r="BF16" s="209"/>
      <c r="BH16" s="305"/>
      <c r="BI16" s="305"/>
      <c r="BJ16" s="261" t="s">
        <v>1545</v>
      </c>
      <c r="BK16" s="267"/>
      <c r="BL16" s="201"/>
      <c r="BM16" s="305"/>
      <c r="BN16" s="305"/>
      <c r="BP16" s="261" t="s">
        <v>1545</v>
      </c>
      <c r="BQ16" s="267"/>
      <c r="BS16" s="306"/>
      <c r="BT16" s="306"/>
      <c r="BU16" s="306"/>
      <c r="BV16" s="203"/>
      <c r="BW16" s="305"/>
      <c r="BX16" s="305"/>
      <c r="BY16" s="261" t="s">
        <v>1545</v>
      </c>
      <c r="BZ16" s="267"/>
      <c r="CA16" s="206"/>
      <c r="CB16" s="261" t="s">
        <v>2244</v>
      </c>
      <c r="CC16" s="305"/>
      <c r="CE16" s="261" t="s">
        <v>2245</v>
      </c>
      <c r="CF16" s="305"/>
      <c r="CH16" s="26" t="s">
        <v>178</v>
      </c>
      <c r="CN16" s="26" t="s">
        <v>200</v>
      </c>
      <c r="CT16" s="26" t="s">
        <v>184</v>
      </c>
      <c r="CZ16" s="26" t="s">
        <v>1337</v>
      </c>
      <c r="DF16" s="26" t="s">
        <v>189</v>
      </c>
      <c r="DL16" s="261" t="s">
        <v>1547</v>
      </c>
      <c r="DM16" s="267"/>
      <c r="DO16" s="26" t="s">
        <v>198</v>
      </c>
      <c r="DU16" s="202" t="s">
        <v>1543</v>
      </c>
      <c r="DW16" s="26" t="s">
        <v>86</v>
      </c>
      <c r="DZ16" s="261" t="s">
        <v>2243</v>
      </c>
      <c r="EA16" s="305"/>
      <c r="EC16" s="261" t="s">
        <v>2244</v>
      </c>
      <c r="ED16" s="305"/>
      <c r="EF16" s="261" t="s">
        <v>2245</v>
      </c>
      <c r="EG16" s="305"/>
      <c r="EI16" s="261" t="s">
        <v>476</v>
      </c>
      <c r="EJ16" s="267"/>
      <c r="EK16" s="267"/>
      <c r="EL16" s="261" t="s">
        <v>1545</v>
      </c>
      <c r="EM16" s="267"/>
      <c r="EO16" s="261" t="s">
        <v>1546</v>
      </c>
      <c r="EP16" s="267"/>
      <c r="EQ16" s="203"/>
      <c r="ER16" s="305"/>
      <c r="ES16" s="305"/>
      <c r="ET16" s="305"/>
      <c r="EU16" s="213"/>
      <c r="EV16" s="261" t="s">
        <v>2244</v>
      </c>
      <c r="EW16" s="305"/>
      <c r="EX16" s="203"/>
      <c r="EY16" s="261" t="s">
        <v>2245</v>
      </c>
      <c r="EZ16" s="305"/>
      <c r="FA16" s="213"/>
      <c r="FB16" s="26" t="s">
        <v>219</v>
      </c>
      <c r="FH16" s="261" t="s">
        <v>1548</v>
      </c>
      <c r="FI16" s="260"/>
      <c r="FJ16" s="260"/>
      <c r="FK16" s="219"/>
      <c r="FL16" s="261" t="s">
        <v>2271</v>
      </c>
      <c r="FM16" s="305"/>
      <c r="FN16" s="305"/>
      <c r="FO16" s="305"/>
      <c r="FR16" s="310" t="s">
        <v>2272</v>
      </c>
      <c r="FS16" s="311"/>
      <c r="FT16" s="311"/>
      <c r="FU16" s="311"/>
      <c r="FV16" s="305"/>
      <c r="FX16" s="310" t="s">
        <v>2273</v>
      </c>
      <c r="FY16" s="311"/>
      <c r="FZ16" s="311"/>
      <c r="GA16" s="311"/>
      <c r="GB16" s="305"/>
      <c r="GD16" s="26" t="s">
        <v>2274</v>
      </c>
      <c r="GH16" s="213"/>
      <c r="GI16" s="26" t="s">
        <v>28</v>
      </c>
      <c r="GK16" s="26" t="s">
        <v>2</v>
      </c>
      <c r="GQ16" s="26" t="s">
        <v>523</v>
      </c>
      <c r="GW16" s="26" t="s">
        <v>3</v>
      </c>
      <c r="HC16" s="261" t="s">
        <v>1549</v>
      </c>
      <c r="HD16" s="260"/>
      <c r="HE16" s="260"/>
      <c r="HF16" s="260"/>
      <c r="HG16" s="267"/>
      <c r="HI16" s="26" t="s">
        <v>360</v>
      </c>
      <c r="HO16" s="26" t="s">
        <v>363</v>
      </c>
      <c r="HU16" s="26" t="s">
        <v>364</v>
      </c>
      <c r="IA16" s="26" t="s">
        <v>365</v>
      </c>
      <c r="IG16" s="26" t="s">
        <v>104</v>
      </c>
      <c r="IS16" s="261" t="s">
        <v>1550</v>
      </c>
      <c r="IT16" s="260"/>
      <c r="IU16" s="260"/>
      <c r="IV16" s="260"/>
      <c r="IW16" s="260"/>
      <c r="IY16" s="261" t="s">
        <v>1551</v>
      </c>
      <c r="IZ16" s="260"/>
      <c r="JA16" s="260"/>
      <c r="JB16" s="260"/>
      <c r="JC16" s="260"/>
      <c r="JE16" s="26" t="s">
        <v>435</v>
      </c>
      <c r="JN16" s="202" t="s">
        <v>1543</v>
      </c>
      <c r="JP16" s="26" t="s">
        <v>2</v>
      </c>
      <c r="JV16" s="26" t="s">
        <v>523</v>
      </c>
      <c r="KB16" s="26" t="s">
        <v>3</v>
      </c>
      <c r="KH16" s="26" t="s">
        <v>415</v>
      </c>
      <c r="KN16" s="26" t="s">
        <v>20</v>
      </c>
      <c r="KT16" s="26" t="s">
        <v>364</v>
      </c>
      <c r="KZ16" s="26" t="s">
        <v>365</v>
      </c>
      <c r="LF16" s="26" t="s">
        <v>104</v>
      </c>
      <c r="LR16" s="261" t="s">
        <v>1552</v>
      </c>
      <c r="LS16" s="260"/>
      <c r="LT16" s="260"/>
      <c r="LU16" s="260"/>
      <c r="LV16" s="260"/>
      <c r="LX16" s="261" t="s">
        <v>1553</v>
      </c>
      <c r="LY16" s="260"/>
      <c r="LZ16" s="260"/>
      <c r="MA16" s="260"/>
      <c r="MB16" s="260"/>
    </row>
    <row r="17" spans="2:340" ht="8.1" customHeight="1" x14ac:dyDescent="0.25">
      <c r="AB17" s="134"/>
    </row>
    <row r="18" spans="2:340" x14ac:dyDescent="0.25">
      <c r="B18" s="240" t="s">
        <v>2347</v>
      </c>
      <c r="AG18" s="36">
        <v>4.25</v>
      </c>
      <c r="AH18" s="15" t="s">
        <v>85</v>
      </c>
      <c r="AL18" s="15" t="str">
        <f>IF(Regn2!$R18&lt;=1,"",VLOOKUP(Regn2!$R18,Afgr,2))</f>
        <v>Vårbyg, foder</v>
      </c>
      <c r="AN18" s="32">
        <f>IF(Regn2!$R18&gt;1,Regn2!AE18,"")</f>
        <v>93</v>
      </c>
      <c r="AO18" s="15" t="s">
        <v>82</v>
      </c>
      <c r="AQ18" s="17"/>
      <c r="AR18" s="15" t="s">
        <v>82</v>
      </c>
      <c r="AT18" s="37">
        <v>27</v>
      </c>
      <c r="AU18" s="15" t="s">
        <v>82</v>
      </c>
      <c r="AX18" s="17"/>
      <c r="AY18" s="15" t="s">
        <v>82</v>
      </c>
      <c r="BA18" s="17"/>
      <c r="BB18" s="15" t="s">
        <v>1504</v>
      </c>
      <c r="BD18" s="17"/>
      <c r="BE18" s="15" t="s">
        <v>1793</v>
      </c>
      <c r="BH18" s="17"/>
      <c r="BI18" s="15" t="s">
        <v>82</v>
      </c>
      <c r="BJ18" s="37">
        <v>75</v>
      </c>
      <c r="BK18" s="15" t="s">
        <v>205</v>
      </c>
      <c r="BM18" s="37">
        <v>87</v>
      </c>
      <c r="BN18" s="15" t="s">
        <v>82</v>
      </c>
      <c r="BP18" s="37">
        <v>73.5</v>
      </c>
      <c r="BQ18" s="15" t="s">
        <v>205</v>
      </c>
      <c r="BT18" s="17"/>
      <c r="BU18" s="15" t="s">
        <v>82</v>
      </c>
      <c r="BW18" s="17"/>
      <c r="BX18" s="15" t="s">
        <v>82</v>
      </c>
      <c r="BY18" s="37">
        <v>75</v>
      </c>
      <c r="BZ18" s="15" t="s">
        <v>205</v>
      </c>
      <c r="CB18" s="17">
        <v>17</v>
      </c>
      <c r="CC18" s="15" t="s">
        <v>1504</v>
      </c>
      <c r="CE18" s="17">
        <v>47</v>
      </c>
      <c r="CF18" s="15" t="s">
        <v>1793</v>
      </c>
      <c r="CH18" s="55">
        <f>IF(Regn2!$R18&gt;1,Regn2!AL18,"")</f>
        <v>56</v>
      </c>
      <c r="CI18" s="15" t="str">
        <f>IF(Regn2!AO18&lt;&gt;0,Regn2!AO18,"")</f>
        <v>hkg</v>
      </c>
      <c r="CK18" s="16"/>
      <c r="CL18" s="15" t="str">
        <f>IF(Regn2!AO18&lt;&gt;0,Regn2!AO18,"")</f>
        <v>hkg</v>
      </c>
      <c r="CN18" s="33">
        <f>IF(Regn2!$R18&gt;1,Regn2!DK18,"")</f>
        <v>9.8674999999999997</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3000</v>
      </c>
      <c r="DG18" s="15" t="s">
        <v>192</v>
      </c>
      <c r="DI18" s="16"/>
      <c r="DJ18" s="15" t="s">
        <v>192</v>
      </c>
      <c r="DO18" s="33">
        <f>IF(Regn2!$R18&gt;1,Regn2!BI18,"")</f>
        <v>0.5</v>
      </c>
      <c r="DP18" s="15" t="s">
        <v>188</v>
      </c>
      <c r="DR18" s="38"/>
      <c r="DS18" s="15" t="s">
        <v>188</v>
      </c>
      <c r="DU18" s="15" t="str">
        <f>IF(Regn2!$T18&lt;=1,"",VLOOKUP(Regn2!$T18,Efgr,2))</f>
        <v>Gul sennep E</v>
      </c>
      <c r="DW18" s="25">
        <f>IF(Regn2!$T18&gt;1,Regn2!BN18,"")</f>
        <v>0</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f>IF(Regn2!$T18&gt;1,Regn2!BQ18,"")</f>
        <v>0</v>
      </c>
      <c r="FC18" s="15" t="str">
        <f>IF(Regn2!$T18&gt;1,Regn2!BT18,"")</f>
        <v>FE</v>
      </c>
      <c r="FE18" s="16"/>
      <c r="FF18" s="15" t="str">
        <f>IF(Regn2!$T18&gt;1,Regn2!BT18,"")</f>
        <v>FE</v>
      </c>
      <c r="FL18" s="32">
        <f>IF(Regn2!$R18&gt;1,NniveauDelsaedsk1,"")</f>
        <v>194</v>
      </c>
      <c r="FM18" s="15" t="s">
        <v>82</v>
      </c>
      <c r="FO18" s="17"/>
      <c r="FP18" s="15" t="s">
        <v>82</v>
      </c>
      <c r="FR18" s="32">
        <f>IF(Regn2!$R18&gt;1,Regn2!HU18,"")</f>
        <v>284.76666666666603</v>
      </c>
      <c r="FS18" s="15" t="s">
        <v>531</v>
      </c>
      <c r="FU18" s="17"/>
      <c r="FV18" s="15" t="s">
        <v>531</v>
      </c>
      <c r="FX18" s="32">
        <f>IF(Regn2!$R18&gt;1,Regn2!HR18,"")</f>
        <v>284.76666666666603</v>
      </c>
      <c r="FY18" s="15" t="s">
        <v>531</v>
      </c>
      <c r="GA18" s="17"/>
      <c r="GB18" s="15" t="s">
        <v>531</v>
      </c>
      <c r="GD18" s="15">
        <f>IF(Regn2!$R18&gt;1,RetentionNbal,"")</f>
        <v>65</v>
      </c>
      <c r="GE18" s="15" t="s">
        <v>205</v>
      </c>
      <c r="GF18" s="17"/>
      <c r="GG18" s="15" t="s">
        <v>205</v>
      </c>
      <c r="GI18" s="15" t="str">
        <f>IF(Regn2!$R18&lt;=1,"",VLOOKUP(Regn2!$R18,Afgr,2))</f>
        <v>Vårbyg, foder</v>
      </c>
      <c r="GK18" s="25">
        <f>IF(Regn2!$R18&gt;1,Regn2!IO18,"")</f>
        <v>488</v>
      </c>
      <c r="GL18" s="15" t="s">
        <v>188</v>
      </c>
      <c r="GN18" s="16"/>
      <c r="GO18" s="15" t="s">
        <v>188</v>
      </c>
      <c r="GQ18" s="25">
        <f>IF(Regn2!$R18&gt;1,Regn2!JK18,"")</f>
        <v>228.14999999999998</v>
      </c>
      <c r="GR18" s="15" t="s">
        <v>188</v>
      </c>
      <c r="GT18" s="16"/>
      <c r="GU18" s="15" t="s">
        <v>188</v>
      </c>
      <c r="GW18" s="25">
        <f>IF(Regn2!$R18&gt;1,Regn2!JO18,"")</f>
        <v>283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140</v>
      </c>
      <c r="HV18" s="15" t="s">
        <v>188</v>
      </c>
      <c r="HX18" s="16"/>
      <c r="HY18" s="15" t="s">
        <v>188</v>
      </c>
      <c r="IA18" s="25">
        <f>IF(Regn2!$R18&gt;1,Regn2!KT18,"")</f>
        <v>300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960.58823529411757</v>
      </c>
      <c r="IT18" s="15" t="s">
        <v>188</v>
      </c>
      <c r="IV18" s="16"/>
      <c r="IW18" s="15" t="s">
        <v>405</v>
      </c>
      <c r="IY18" s="25">
        <f>IF(Regn2!$R18&gt;1,Regn2!LM18,"")</f>
        <v>725</v>
      </c>
      <c r="IZ18" s="15" t="s">
        <v>188</v>
      </c>
      <c r="JB18" s="16"/>
      <c r="JC18" s="15" t="s">
        <v>188</v>
      </c>
      <c r="JH18" s="25">
        <f>IF(Regn2!$R18&gt;1,Regn2!LQ18,"")</f>
        <v>517.44000000000005</v>
      </c>
      <c r="JI18" s="15" t="s">
        <v>188</v>
      </c>
      <c r="JK18" s="16"/>
      <c r="JL18" s="15" t="s">
        <v>188</v>
      </c>
      <c r="JN18" s="15" t="str">
        <f>IF(Regn2!$T18&lt;=1,"",VLOOKUP(Regn2!$T18,Efgr,2))</f>
        <v>Gul sennep E</v>
      </c>
      <c r="JP18" s="25">
        <f>IF(Regn2!$T18&gt;1,Regn2!LU18,"")</f>
        <v>160</v>
      </c>
      <c r="JQ18" s="15" t="s">
        <v>188</v>
      </c>
      <c r="JS18" s="16"/>
      <c r="JT18" s="15" t="s">
        <v>188</v>
      </c>
      <c r="JV18" s="25">
        <f>IF(Regn2!$T18&gt;1,Regn2!MN18,"")</f>
        <v>0</v>
      </c>
      <c r="JW18" s="15" t="s">
        <v>188</v>
      </c>
      <c r="JY18" s="16"/>
      <c r="JZ18" s="15" t="s">
        <v>188</v>
      </c>
      <c r="KB18" s="25">
        <f>IF(Regn2!$T18&gt;1,Regn2!MR18,"")</f>
        <v>0</v>
      </c>
      <c r="KC18" s="15" t="s">
        <v>188</v>
      </c>
      <c r="KE18" s="16"/>
      <c r="KF18" s="15" t="s">
        <v>188</v>
      </c>
      <c r="KH18" s="25">
        <f>IF(Regn2!$T18&gt;1,Regn2!MV18,"")</f>
        <v>0</v>
      </c>
      <c r="KI18" s="15" t="s">
        <v>188</v>
      </c>
      <c r="KK18" s="16"/>
      <c r="KL18" s="15" t="s">
        <v>188</v>
      </c>
      <c r="KN18" s="25">
        <f>IF(Regn2!$T18&gt;1,Regn2!NB18,"")</f>
        <v>75</v>
      </c>
      <c r="KO18" s="15" t="s">
        <v>188</v>
      </c>
      <c r="KQ18" s="16"/>
      <c r="KR18" s="15" t="s">
        <v>188</v>
      </c>
      <c r="KT18" s="25">
        <f>IF(Regn2!$T18&gt;1,Regn2!NF18,"")</f>
        <v>0</v>
      </c>
      <c r="KU18" s="15" t="s">
        <v>188</v>
      </c>
      <c r="KW18" s="16"/>
      <c r="KX18" s="15" t="s">
        <v>188</v>
      </c>
      <c r="KZ18" s="25">
        <f>IF(Regn2!$T18&gt;1,Regn2!NJ18,"")</f>
        <v>0</v>
      </c>
      <c r="LA18" s="15" t="s">
        <v>188</v>
      </c>
      <c r="LC18" s="16"/>
      <c r="LD18" s="15" t="s">
        <v>188</v>
      </c>
      <c r="LF18" s="25">
        <f>IF(Regn2!$T18&gt;1,Regn2!NN18,"")</f>
        <v>0</v>
      </c>
      <c r="LG18" s="15" t="s">
        <v>531</v>
      </c>
      <c r="LI18" s="16"/>
      <c r="LJ18" s="15" t="s">
        <v>531</v>
      </c>
      <c r="LL18" s="25">
        <f>IF(Regn2!$T18&gt;1,Regn2!NP18,"")</f>
        <v>0</v>
      </c>
      <c r="LM18" s="15" t="s">
        <v>188</v>
      </c>
      <c r="LO18" s="16"/>
      <c r="LP18" s="15" t="s">
        <v>188</v>
      </c>
      <c r="LR18" s="25">
        <f>IF(Regn2!$T18&gt;1,Regn2!NV18,"")</f>
        <v>0</v>
      </c>
      <c r="LS18" s="15" t="s">
        <v>188</v>
      </c>
      <c r="LU18" s="16"/>
      <c r="LV18" s="15" t="s">
        <v>188</v>
      </c>
      <c r="LX18" s="25">
        <f>IF(Regn2!$T18&gt;1,Regn2!NZ18,"")</f>
        <v>180</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1.4</v>
      </c>
      <c r="AH20" s="15" t="s">
        <v>85</v>
      </c>
      <c r="AL20" s="15" t="str">
        <f>IF(Regn2!$R20&lt;=1,"",VLOOKUP(Regn2!$R20,Afgr,2))</f>
        <v>Permanent græs</v>
      </c>
      <c r="AN20" s="32">
        <f>IF(Regn2!$R20&gt;1,Regn2!AE20,"")</f>
        <v>134</v>
      </c>
      <c r="AO20" s="15" t="s">
        <v>82</v>
      </c>
      <c r="AQ20" s="17"/>
      <c r="AR20" s="15" t="s">
        <v>82</v>
      </c>
      <c r="AT20" s="37">
        <v>52</v>
      </c>
      <c r="AU20" s="15" t="s">
        <v>82</v>
      </c>
      <c r="AX20" s="17"/>
      <c r="AY20" s="15" t="s">
        <v>82</v>
      </c>
      <c r="BA20" s="17">
        <v>7</v>
      </c>
      <c r="BB20" s="15" t="s">
        <v>1504</v>
      </c>
      <c r="BD20" s="17">
        <v>24</v>
      </c>
      <c r="BE20" s="15" t="s">
        <v>1793</v>
      </c>
      <c r="BH20" s="17"/>
      <c r="BI20" s="15" t="s">
        <v>82</v>
      </c>
      <c r="BJ20" s="37">
        <v>75</v>
      </c>
      <c r="BK20" s="15" t="s">
        <v>205</v>
      </c>
      <c r="BM20" s="37"/>
      <c r="BN20" s="15" t="s">
        <v>82</v>
      </c>
      <c r="BP20" s="37">
        <v>73.5</v>
      </c>
      <c r="BQ20" s="15" t="s">
        <v>205</v>
      </c>
      <c r="BT20" s="17"/>
      <c r="BU20" s="15" t="s">
        <v>82</v>
      </c>
      <c r="BW20" s="17"/>
      <c r="BX20" s="15" t="s">
        <v>82</v>
      </c>
      <c r="BY20" s="37">
        <v>75</v>
      </c>
      <c r="BZ20" s="15" t="s">
        <v>205</v>
      </c>
      <c r="CB20" s="17"/>
      <c r="CC20" s="15" t="s">
        <v>1504</v>
      </c>
      <c r="CE20" s="17"/>
      <c r="CF20" s="15" t="s">
        <v>1793</v>
      </c>
      <c r="CH20" s="55">
        <f>IF(Regn2!$R20&gt;1,Regn2!AL20,"")</f>
        <v>3000</v>
      </c>
      <c r="CI20" s="15" t="str">
        <f>IF(Regn2!AO20&lt;&gt;0,Regn2!AO20,"")</f>
        <v>FE</v>
      </c>
      <c r="CK20" s="16"/>
      <c r="CL20" s="15" t="str">
        <f>IF(Regn2!AO20&lt;&gt;0,Regn2!AO20,"")</f>
        <v>FE</v>
      </c>
      <c r="CN20" s="33">
        <f>IF(Regn2!$R20&gt;1,Regn2!DK20,"")</f>
        <v>14</v>
      </c>
      <c r="CO20" s="15" t="s">
        <v>201</v>
      </c>
      <c r="CQ20" s="38"/>
      <c r="CR20" s="15" t="s">
        <v>201</v>
      </c>
      <c r="CT20" s="55">
        <f>IF(Regn2!$R20&gt;1,Regn2!AR20,"")</f>
        <v>1.2</v>
      </c>
      <c r="CU20" s="15" t="s">
        <v>188</v>
      </c>
      <c r="CW20" s="124"/>
      <c r="CX20" s="15" t="s">
        <v>188</v>
      </c>
      <c r="CZ20" s="25">
        <f>IF(Regn2!$R20&gt;1,Regn2!AW20,"")</f>
        <v>0</v>
      </c>
      <c r="DA20" s="15" t="s">
        <v>188</v>
      </c>
      <c r="DC20" s="17"/>
      <c r="DD20" s="15" t="s">
        <v>188</v>
      </c>
      <c r="DF20" s="25">
        <f>IF(Regn2!$R20&gt;1,Regn2!BB20,"")</f>
        <v>0</v>
      </c>
      <c r="DG20" s="15" t="s">
        <v>192</v>
      </c>
      <c r="DI20" s="16"/>
      <c r="DJ20" s="15" t="s">
        <v>192</v>
      </c>
      <c r="DO20" s="33">
        <f>IF(Regn2!$R20&gt;1,Regn2!BI20,"")</f>
        <v>0</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272.32333333333298</v>
      </c>
      <c r="FS20" s="15" t="s">
        <v>531</v>
      </c>
      <c r="FU20" s="17"/>
      <c r="FV20" s="15" t="s">
        <v>531</v>
      </c>
      <c r="FX20" s="32">
        <f>IF(Regn2!$R20&gt;1,Regn2!HR20,"")</f>
        <v>272.32333333333298</v>
      </c>
      <c r="FY20" s="15" t="s">
        <v>531</v>
      </c>
      <c r="GA20" s="17"/>
      <c r="GB20" s="15" t="s">
        <v>531</v>
      </c>
      <c r="GD20" s="15">
        <f>IF(Regn2!$R20&gt;1,RetentionNbal,"")</f>
        <v>65</v>
      </c>
      <c r="GE20" s="15" t="s">
        <v>205</v>
      </c>
      <c r="GF20" s="17"/>
      <c r="GG20" s="15" t="s">
        <v>205</v>
      </c>
      <c r="GI20" s="15" t="str">
        <f>IF(Regn2!$R20&lt;=1,"",VLOOKUP(Regn2!$R20,Afgr,2))</f>
        <v>Permanent græs</v>
      </c>
      <c r="GK20" s="25">
        <f>IF(Regn2!$R20&gt;1,Regn2!IO20,"")</f>
        <v>0</v>
      </c>
      <c r="GL20" s="15" t="s">
        <v>188</v>
      </c>
      <c r="GN20" s="16"/>
      <c r="GO20" s="15" t="s">
        <v>188</v>
      </c>
      <c r="GQ20" s="25">
        <f>IF(Regn2!$R20&gt;1,Regn2!JK20,"")</f>
        <v>692.69999999999993</v>
      </c>
      <c r="GR20" s="15" t="s">
        <v>188</v>
      </c>
      <c r="GT20" s="16"/>
      <c r="GU20" s="15" t="s">
        <v>188</v>
      </c>
      <c r="GW20" s="25">
        <f>IF(Regn2!$R20&gt;1,Regn2!JO20,"")</f>
        <v>0</v>
      </c>
      <c r="GX20" s="15" t="s">
        <v>188</v>
      </c>
      <c r="GZ20" s="16"/>
      <c r="HA20" s="15" t="s">
        <v>188</v>
      </c>
      <c r="HC20" s="25">
        <f>IF(Regn2!$R20&gt;1,Regn2!JS20,"")</f>
        <v>0</v>
      </c>
      <c r="HD20" s="15" t="s">
        <v>188</v>
      </c>
      <c r="HF20" s="16"/>
      <c r="HG20" s="15" t="s">
        <v>188</v>
      </c>
      <c r="HI20" s="25">
        <f>IF(Regn2!$R20&gt;1,Regn2!JY20,"")</f>
        <v>0</v>
      </c>
      <c r="HJ20" s="15" t="s">
        <v>362</v>
      </c>
      <c r="HL20" s="16"/>
      <c r="HM20" s="15" t="s">
        <v>188</v>
      </c>
      <c r="HO20" s="25">
        <f>IF(Regn2!$R20&gt;1,Regn2!KL20,"")</f>
        <v>0</v>
      </c>
      <c r="HP20" s="15" t="s">
        <v>188</v>
      </c>
      <c r="HR20" s="16"/>
      <c r="HS20" s="15" t="s">
        <v>188</v>
      </c>
      <c r="HU20" s="25">
        <f>IF(Regn2!$R20&gt;1,Regn2!KP20,"")</f>
        <v>280</v>
      </c>
      <c r="HV20" s="15" t="s">
        <v>188</v>
      </c>
      <c r="HX20" s="16"/>
      <c r="HY20" s="15" t="s">
        <v>188</v>
      </c>
      <c r="IA20" s="25">
        <f>IF(Regn2!$R20&gt;1,Regn2!KT20,"")</f>
        <v>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0</v>
      </c>
      <c r="IT20" s="15" t="s">
        <v>188</v>
      </c>
      <c r="IV20" s="16"/>
      <c r="IW20" s="15" t="s">
        <v>405</v>
      </c>
      <c r="IY20" s="25">
        <f>IF(Regn2!$R20&gt;1,Regn2!LM20,"")</f>
        <v>0</v>
      </c>
      <c r="IZ20" s="15" t="s">
        <v>188</v>
      </c>
      <c r="JB20" s="16"/>
      <c r="JC20" s="15" t="s">
        <v>188</v>
      </c>
      <c r="JH20" s="25">
        <f>IF(Regn2!$R20&gt;1,Regn2!LQ20,"")</f>
        <v>0</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13.62</v>
      </c>
      <c r="AH22" s="15" t="s">
        <v>85</v>
      </c>
      <c r="AL22" s="15" t="str">
        <f>IF(Regn2!$R22&lt;=1,"",VLOOKUP(Regn2!$R22,Afgr,2))</f>
        <v>Majs, helsæd</v>
      </c>
      <c r="AN22" s="32">
        <f>IF(Regn2!$R22&gt;1,Regn2!AE22,"")</f>
        <v>139</v>
      </c>
      <c r="AO22" s="15" t="s">
        <v>82</v>
      </c>
      <c r="AQ22" s="17"/>
      <c r="AR22" s="15" t="s">
        <v>82</v>
      </c>
      <c r="AT22" s="37">
        <v>20</v>
      </c>
      <c r="AU22" s="15" t="s">
        <v>82</v>
      </c>
      <c r="AX22" s="17"/>
      <c r="AY22" s="15" t="s">
        <v>82</v>
      </c>
      <c r="BA22" s="17">
        <v>10</v>
      </c>
      <c r="BB22" s="15" t="s">
        <v>1504</v>
      </c>
      <c r="BD22" s="17"/>
      <c r="BE22" s="15" t="s">
        <v>1793</v>
      </c>
      <c r="BH22" s="17">
        <v>142</v>
      </c>
      <c r="BI22" s="15" t="s">
        <v>82</v>
      </c>
      <c r="BJ22" s="37">
        <v>54.59</v>
      </c>
      <c r="BK22" s="15" t="s">
        <v>205</v>
      </c>
      <c r="BM22" s="37">
        <v>129</v>
      </c>
      <c r="BN22" s="15" t="s">
        <v>82</v>
      </c>
      <c r="BP22" s="37">
        <v>73.5</v>
      </c>
      <c r="BQ22" s="15" t="s">
        <v>205</v>
      </c>
      <c r="BT22" s="17"/>
      <c r="BU22" s="15" t="s">
        <v>82</v>
      </c>
      <c r="BW22" s="17"/>
      <c r="BX22" s="15" t="s">
        <v>82</v>
      </c>
      <c r="BY22" s="37">
        <v>75</v>
      </c>
      <c r="BZ22" s="15" t="s">
        <v>205</v>
      </c>
      <c r="CB22" s="17">
        <v>45</v>
      </c>
      <c r="CC22" s="15" t="s">
        <v>1504</v>
      </c>
      <c r="CE22" s="17">
        <v>200</v>
      </c>
      <c r="CF22" s="15" t="s">
        <v>1793</v>
      </c>
      <c r="CH22" s="55">
        <f>IF(Regn2!$R22&gt;1,Regn2!AL22,"")</f>
        <v>10300</v>
      </c>
      <c r="CI22" s="15" t="str">
        <f>IF(Regn2!AO22&lt;&gt;0,Regn2!AO22,"")</f>
        <v>FE</v>
      </c>
      <c r="CK22" s="16"/>
      <c r="CL22" s="15" t="str">
        <f>IF(Regn2!AO22&lt;&gt;0,Regn2!AO22,"")</f>
        <v>FE</v>
      </c>
      <c r="CN22" s="33">
        <f>IF(Regn2!$R22&gt;1,Regn2!DK22,"")</f>
        <v>6.7703559999999996</v>
      </c>
      <c r="CO22" s="15" t="s">
        <v>201</v>
      </c>
      <c r="CQ22" s="38"/>
      <c r="CR22" s="15" t="s">
        <v>201</v>
      </c>
      <c r="CT22" s="55">
        <f>IF(Regn2!$R22&gt;1,Regn2!AR22,"")</f>
        <v>1.2</v>
      </c>
      <c r="CU22" s="15" t="s">
        <v>188</v>
      </c>
      <c r="CW22" s="124"/>
      <c r="CX22" s="15" t="s">
        <v>188</v>
      </c>
      <c r="CZ22" s="25">
        <f>IF(Regn2!$R22&gt;1,Regn2!AW22,"")</f>
        <v>0</v>
      </c>
      <c r="DA22" s="15" t="s">
        <v>188</v>
      </c>
      <c r="DC22" s="17"/>
      <c r="DD22" s="15" t="s">
        <v>188</v>
      </c>
      <c r="DF22" s="25">
        <f>IF(Regn2!$R22&gt;1,Regn2!BB22,"")</f>
        <v>0</v>
      </c>
      <c r="DG22" s="15" t="s">
        <v>192</v>
      </c>
      <c r="DI22" s="16"/>
      <c r="DJ22" s="15" t="s">
        <v>192</v>
      </c>
      <c r="DO22" s="33">
        <f>IF(Regn2!$R22&gt;1,Regn2!BI22,"")</f>
        <v>0</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311.98999999999899</v>
      </c>
      <c r="FS22" s="15" t="s">
        <v>531</v>
      </c>
      <c r="FU22" s="17"/>
      <c r="FV22" s="15" t="s">
        <v>531</v>
      </c>
      <c r="FX22" s="32">
        <f>IF(Regn2!$R22&gt;1,Regn2!HR22,"")</f>
        <v>311.98999999999899</v>
      </c>
      <c r="FY22" s="15" t="s">
        <v>531</v>
      </c>
      <c r="GA22" s="17"/>
      <c r="GB22" s="15" t="s">
        <v>531</v>
      </c>
      <c r="GD22" s="15">
        <f>IF(Regn2!$R22&gt;1,RetentionNbal,"")</f>
        <v>65</v>
      </c>
      <c r="GE22" s="15" t="s">
        <v>205</v>
      </c>
      <c r="GF22" s="17"/>
      <c r="GG22" s="15" t="s">
        <v>205</v>
      </c>
      <c r="GI22" s="15" t="str">
        <f>IF(Regn2!$R22&lt;=1,"",VLOOKUP(Regn2!$R22,Afgr,2))</f>
        <v>Majs, helsæd</v>
      </c>
      <c r="GK22" s="25">
        <f>IF(Regn2!$R22&gt;1,Regn2!IO22,"")</f>
        <v>1400</v>
      </c>
      <c r="GL22" s="15" t="s">
        <v>188</v>
      </c>
      <c r="GN22" s="16"/>
      <c r="GO22" s="15" t="s">
        <v>188</v>
      </c>
      <c r="GQ22" s="25">
        <f>IF(Regn2!$R22&gt;1,Regn2!JK22,"")</f>
        <v>308</v>
      </c>
      <c r="GR22" s="15" t="s">
        <v>188</v>
      </c>
      <c r="GT22" s="16"/>
      <c r="GU22" s="15" t="s">
        <v>188</v>
      </c>
      <c r="GW22" s="25">
        <f>IF(Regn2!$R22&gt;1,Regn2!JO22,"")</f>
        <v>660</v>
      </c>
      <c r="GX22" s="15" t="s">
        <v>188</v>
      </c>
      <c r="GZ22" s="16"/>
      <c r="HA22" s="15" t="s">
        <v>188</v>
      </c>
      <c r="HC22" s="25">
        <f>IF(Regn2!$R22&gt;1,Regn2!JS22,"")</f>
        <v>401.7</v>
      </c>
      <c r="HD22" s="15" t="s">
        <v>188</v>
      </c>
      <c r="HF22" s="16"/>
      <c r="HG22" s="15" t="s">
        <v>188</v>
      </c>
      <c r="HI22" s="25">
        <f>IF(Regn2!$R22&gt;1,Regn2!JY22,"")</f>
        <v>600</v>
      </c>
      <c r="HJ22" s="15" t="s">
        <v>362</v>
      </c>
      <c r="HL22" s="16"/>
      <c r="HM22" s="15" t="s">
        <v>188</v>
      </c>
      <c r="HO22" s="25">
        <f>IF(Regn2!$R22&gt;1,Regn2!KL22,"")</f>
        <v>800</v>
      </c>
      <c r="HP22" s="15" t="s">
        <v>188</v>
      </c>
      <c r="HR22" s="16"/>
      <c r="HS22" s="15" t="s">
        <v>188</v>
      </c>
      <c r="HU22" s="25">
        <f>IF(Regn2!$R22&gt;1,Regn2!KP22,"")</f>
        <v>140</v>
      </c>
      <c r="HV22" s="15" t="s">
        <v>188</v>
      </c>
      <c r="HX22" s="16"/>
      <c r="HY22" s="15" t="s">
        <v>188</v>
      </c>
      <c r="IA22" s="25">
        <f>IF(Regn2!$R22&gt;1,Regn2!KT22,"")</f>
        <v>300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1715.5555555555554</v>
      </c>
      <c r="IT22" s="15" t="s">
        <v>188</v>
      </c>
      <c r="IV22" s="16"/>
      <c r="IW22" s="15" t="s">
        <v>405</v>
      </c>
      <c r="IY22" s="25">
        <f>IF(Regn2!$R22&gt;1,Regn2!LM22,"")</f>
        <v>0</v>
      </c>
      <c r="IZ22" s="15" t="s">
        <v>188</v>
      </c>
      <c r="JB22" s="16"/>
      <c r="JC22" s="15" t="s">
        <v>188</v>
      </c>
      <c r="JH22" s="25">
        <f>IF(Regn2!$R22&gt;1,Regn2!LQ22,"")</f>
        <v>0</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2.95</v>
      </c>
      <c r="AH24" s="15" t="s">
        <v>85</v>
      </c>
      <c r="AL24" s="15" t="str">
        <f>IF(Regn2!$R24&lt;=1,"",VLOOKUP(Regn2!$R24,Afgr,2))</f>
        <v>Vårbyg, foder</v>
      </c>
      <c r="AN24" s="32">
        <f>IF(Regn2!$R24&gt;1,Regn2!AE24,"")</f>
        <v>93</v>
      </c>
      <c r="AO24" s="15" t="s">
        <v>82</v>
      </c>
      <c r="AQ24" s="17"/>
      <c r="AR24" s="15" t="s">
        <v>82</v>
      </c>
      <c r="AT24" s="37">
        <v>27</v>
      </c>
      <c r="AU24" s="15" t="s">
        <v>82</v>
      </c>
      <c r="AX24" s="17"/>
      <c r="AY24" s="15" t="s">
        <v>82</v>
      </c>
      <c r="BA24" s="17"/>
      <c r="BB24" s="15" t="s">
        <v>1504</v>
      </c>
      <c r="BD24" s="17"/>
      <c r="BE24" s="15" t="s">
        <v>1793</v>
      </c>
      <c r="BH24" s="17"/>
      <c r="BI24" s="15" t="s">
        <v>82</v>
      </c>
      <c r="BJ24" s="37">
        <v>75</v>
      </c>
      <c r="BK24" s="15" t="s">
        <v>205</v>
      </c>
      <c r="BM24" s="37">
        <v>87</v>
      </c>
      <c r="BN24" s="15" t="s">
        <v>82</v>
      </c>
      <c r="BP24" s="37">
        <v>73.5</v>
      </c>
      <c r="BQ24" s="15" t="s">
        <v>205</v>
      </c>
      <c r="BT24" s="17"/>
      <c r="BU24" s="15" t="s">
        <v>82</v>
      </c>
      <c r="BW24" s="17"/>
      <c r="BX24" s="15" t="s">
        <v>82</v>
      </c>
      <c r="BY24" s="37">
        <v>75</v>
      </c>
      <c r="BZ24" s="15" t="s">
        <v>205</v>
      </c>
      <c r="CB24" s="17">
        <v>17</v>
      </c>
      <c r="CC24" s="15" t="s">
        <v>1504</v>
      </c>
      <c r="CE24" s="17">
        <v>47</v>
      </c>
      <c r="CF24" s="15" t="s">
        <v>1793</v>
      </c>
      <c r="CH24" s="55">
        <f>IF(Regn2!$R24&gt;1,Regn2!AL24,"")</f>
        <v>56</v>
      </c>
      <c r="CI24" s="15" t="str">
        <f>IF(Regn2!AO24&lt;&gt;0,Regn2!AO24,"")</f>
        <v>hkg</v>
      </c>
      <c r="CK24" s="16"/>
      <c r="CL24" s="15" t="str">
        <f>IF(Regn2!AO24&lt;&gt;0,Regn2!AO24,"")</f>
        <v>hkg</v>
      </c>
      <c r="CN24" s="33">
        <f>IF(Regn2!$R24&gt;1,Regn2!DK24,"")</f>
        <v>9.8674999999999997</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3000</v>
      </c>
      <c r="DG24" s="15" t="s">
        <v>192</v>
      </c>
      <c r="DI24" s="16"/>
      <c r="DJ24" s="15" t="s">
        <v>192</v>
      </c>
      <c r="DO24" s="33">
        <f>IF(Regn2!$R24&gt;1,Regn2!BI24,"")</f>
        <v>0.5</v>
      </c>
      <c r="DP24" s="15" t="s">
        <v>188</v>
      </c>
      <c r="DR24" s="38"/>
      <c r="DS24" s="15" t="s">
        <v>188</v>
      </c>
      <c r="DU24" s="15" t="str">
        <f>IF(Regn2!$T24&lt;=1,"",VLOOKUP(Regn2!$T24,Efgr,2))</f>
        <v>Gul sennep E</v>
      </c>
      <c r="DW24" s="25">
        <f>IF(Regn2!$T24&gt;1,Regn2!BN24,"")</f>
        <v>0</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f>IF(Regn2!$T24&gt;1,Regn2!BQ24,"")</f>
        <v>0</v>
      </c>
      <c r="FC24" s="15" t="str">
        <f>IF(Regn2!$T24&gt;1,Regn2!BT24,"")</f>
        <v>FE</v>
      </c>
      <c r="FE24" s="16"/>
      <c r="FF24" s="15" t="str">
        <f>IF(Regn2!$T24&gt;1,Regn2!BT24,"")</f>
        <v>FE</v>
      </c>
      <c r="FL24" s="32">
        <f>IF(Regn2!$R24&gt;1,NniveauDelsaedsk1,"")</f>
        <v>194</v>
      </c>
      <c r="FM24" s="15" t="s">
        <v>82</v>
      </c>
      <c r="FO24" s="17"/>
      <c r="FP24" s="15" t="s">
        <v>82</v>
      </c>
      <c r="FR24" s="32">
        <f>IF(Regn2!$R24&gt;1,Regn2!HU24,"")</f>
        <v>284.76666666666603</v>
      </c>
      <c r="FS24" s="15" t="s">
        <v>531</v>
      </c>
      <c r="FU24" s="17"/>
      <c r="FV24" s="15" t="s">
        <v>531</v>
      </c>
      <c r="FX24" s="32">
        <f>IF(Regn2!$R24&gt;1,Regn2!HR24,"")</f>
        <v>284.76666666666603</v>
      </c>
      <c r="FY24" s="15" t="s">
        <v>531</v>
      </c>
      <c r="GA24" s="17"/>
      <c r="GB24" s="15" t="s">
        <v>531</v>
      </c>
      <c r="GD24" s="15">
        <f>IF(Regn2!$R24&gt;1,RetentionNbal,"")</f>
        <v>65</v>
      </c>
      <c r="GE24" s="15" t="s">
        <v>205</v>
      </c>
      <c r="GF24" s="17"/>
      <c r="GG24" s="15" t="s">
        <v>205</v>
      </c>
      <c r="GI24" s="15" t="str">
        <f>IF(Regn2!$R24&lt;=1,"",VLOOKUP(Regn2!$R24,Afgr,2))</f>
        <v>Vårbyg, foder</v>
      </c>
      <c r="GK24" s="25">
        <f>IF(Regn2!$R24&gt;1,Regn2!IO24,"")</f>
        <v>488</v>
      </c>
      <c r="GL24" s="15" t="s">
        <v>188</v>
      </c>
      <c r="GN24" s="16"/>
      <c r="GO24" s="15" t="s">
        <v>188</v>
      </c>
      <c r="GQ24" s="25">
        <f>IF(Regn2!$R24&gt;1,Regn2!JK24,"")</f>
        <v>228.14999999999998</v>
      </c>
      <c r="GR24" s="15" t="s">
        <v>188</v>
      </c>
      <c r="GT24" s="16"/>
      <c r="GU24" s="15" t="s">
        <v>188</v>
      </c>
      <c r="GW24" s="25">
        <f>IF(Regn2!$R24&gt;1,Regn2!JO24,"")</f>
        <v>283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960.58823529411757</v>
      </c>
      <c r="IT24" s="15" t="s">
        <v>188</v>
      </c>
      <c r="IV24" s="16"/>
      <c r="IW24" s="15" t="s">
        <v>405</v>
      </c>
      <c r="IY24" s="25">
        <f>IF(Regn2!$R24&gt;1,Regn2!LM24,"")</f>
        <v>725</v>
      </c>
      <c r="IZ24" s="15" t="s">
        <v>188</v>
      </c>
      <c r="JB24" s="16"/>
      <c r="JC24" s="15" t="s">
        <v>188</v>
      </c>
      <c r="JH24" s="25">
        <f>IF(Regn2!$R24&gt;1,Regn2!LQ24,"")</f>
        <v>517.44000000000005</v>
      </c>
      <c r="JI24" s="15" t="s">
        <v>188</v>
      </c>
      <c r="JK24" s="16"/>
      <c r="JL24" s="15" t="s">
        <v>188</v>
      </c>
      <c r="JN24" s="15" t="str">
        <f>IF(Regn2!$T24&lt;=1,"",VLOOKUP(Regn2!$T24,Efgr,2))</f>
        <v>Gul sennep E</v>
      </c>
      <c r="JP24" s="25">
        <f>IF(Regn2!$T24&gt;1,Regn2!LU24,"")</f>
        <v>160</v>
      </c>
      <c r="JQ24" s="15" t="s">
        <v>188</v>
      </c>
      <c r="JS24" s="16"/>
      <c r="JT24" s="15" t="s">
        <v>188</v>
      </c>
      <c r="JV24" s="25">
        <f>IF(Regn2!$T24&gt;1,Regn2!MN24,"")</f>
        <v>0</v>
      </c>
      <c r="JW24" s="15" t="s">
        <v>188</v>
      </c>
      <c r="JY24" s="16"/>
      <c r="JZ24" s="15" t="s">
        <v>188</v>
      </c>
      <c r="KB24" s="25">
        <f>IF(Regn2!$T24&gt;1,Regn2!MR24,"")</f>
        <v>0</v>
      </c>
      <c r="KC24" s="15" t="s">
        <v>188</v>
      </c>
      <c r="KE24" s="16"/>
      <c r="KF24" s="15" t="s">
        <v>188</v>
      </c>
      <c r="KH24" s="25">
        <f>IF(Regn2!$T24&gt;1,Regn2!MV24,"")</f>
        <v>0</v>
      </c>
      <c r="KI24" s="15" t="s">
        <v>188</v>
      </c>
      <c r="KK24" s="16"/>
      <c r="KL24" s="15" t="s">
        <v>188</v>
      </c>
      <c r="KN24" s="25">
        <f>IF(Regn2!$T24&gt;1,Regn2!NB24,"")</f>
        <v>75</v>
      </c>
      <c r="KO24" s="15" t="s">
        <v>188</v>
      </c>
      <c r="KQ24" s="16"/>
      <c r="KR24" s="15" t="s">
        <v>188</v>
      </c>
      <c r="KT24" s="25">
        <f>IF(Regn2!$T24&gt;1,Regn2!NF24,"")</f>
        <v>0</v>
      </c>
      <c r="KU24" s="15" t="s">
        <v>188</v>
      </c>
      <c r="KW24" s="16"/>
      <c r="KX24" s="15" t="s">
        <v>188</v>
      </c>
      <c r="KZ24" s="25">
        <f>IF(Regn2!$T24&gt;1,Regn2!NJ24,"")</f>
        <v>0</v>
      </c>
      <c r="LA24" s="15" t="s">
        <v>188</v>
      </c>
      <c r="LC24" s="16"/>
      <c r="LD24" s="15" t="s">
        <v>188</v>
      </c>
      <c r="LF24" s="25">
        <f>IF(Regn2!$T24&gt;1,Regn2!NN24,"")</f>
        <v>0</v>
      </c>
      <c r="LG24" s="15" t="s">
        <v>531</v>
      </c>
      <c r="LI24" s="16"/>
      <c r="LJ24" s="15" t="s">
        <v>531</v>
      </c>
      <c r="LL24" s="25">
        <f>IF(Regn2!$T24&gt;1,Regn2!NP24,"")</f>
        <v>0</v>
      </c>
      <c r="LM24" s="15" t="s">
        <v>188</v>
      </c>
      <c r="LO24" s="16"/>
      <c r="LP24" s="15" t="s">
        <v>188</v>
      </c>
      <c r="LR24" s="25">
        <f>IF(Regn2!$T24&gt;1,Regn2!NV24,"")</f>
        <v>0</v>
      </c>
      <c r="LS24" s="15" t="s">
        <v>188</v>
      </c>
      <c r="LU24" s="16"/>
      <c r="LV24" s="15" t="s">
        <v>188</v>
      </c>
      <c r="LX24" s="25">
        <f>IF(Regn2!$T24&gt;1,Regn2!NZ24,"")</f>
        <v>180</v>
      </c>
      <c r="LY24" s="15" t="s">
        <v>188</v>
      </c>
      <c r="MA24" s="16"/>
      <c r="MB24" s="15" t="s">
        <v>188</v>
      </c>
    </row>
    <row r="25" spans="2:340" ht="8.1" customHeight="1" x14ac:dyDescent="0.25"/>
    <row r="26" spans="2:340" x14ac:dyDescent="0.25">
      <c r="B26" s="240" t="s">
        <v>2351</v>
      </c>
      <c r="AG26" s="36">
        <v>5.85</v>
      </c>
      <c r="AH26" s="15" t="s">
        <v>85</v>
      </c>
      <c r="AL26" s="15" t="str">
        <f>IF(Regn2!$R26&lt;=1,"",VLOOKUP(Regn2!$R26,Afgr,2))</f>
        <v>Kløvergræs, 4 slæt</v>
      </c>
      <c r="AN26" s="32">
        <f>IF(Regn2!$R26&gt;1,Regn2!AE26,"")</f>
        <v>330</v>
      </c>
      <c r="AO26" s="15" t="s">
        <v>82</v>
      </c>
      <c r="AQ26" s="17"/>
      <c r="AR26" s="15" t="s">
        <v>82</v>
      </c>
      <c r="AT26" s="37">
        <v>40</v>
      </c>
      <c r="AU26" s="15" t="s">
        <v>82</v>
      </c>
      <c r="AX26" s="17"/>
      <c r="AY26" s="15" t="s">
        <v>82</v>
      </c>
      <c r="BA26" s="17"/>
      <c r="BB26" s="15" t="s">
        <v>1504</v>
      </c>
      <c r="BD26" s="17"/>
      <c r="BE26" s="15" t="s">
        <v>1793</v>
      </c>
      <c r="BH26" s="17"/>
      <c r="BI26" s="15" t="s">
        <v>82</v>
      </c>
      <c r="BJ26" s="37">
        <v>75</v>
      </c>
      <c r="BK26" s="15" t="s">
        <v>205</v>
      </c>
      <c r="BM26" s="37">
        <v>510</v>
      </c>
      <c r="BN26" s="15" t="s">
        <v>82</v>
      </c>
      <c r="BP26" s="37">
        <v>73.5</v>
      </c>
      <c r="BQ26" s="15" t="s">
        <v>205</v>
      </c>
      <c r="BT26" s="17"/>
      <c r="BU26" s="15" t="s">
        <v>82</v>
      </c>
      <c r="BW26" s="17"/>
      <c r="BX26" s="15" t="s">
        <v>82</v>
      </c>
      <c r="BY26" s="37">
        <v>75</v>
      </c>
      <c r="BZ26" s="15" t="s">
        <v>205</v>
      </c>
      <c r="CB26" s="17">
        <v>103</v>
      </c>
      <c r="CC26" s="15" t="s">
        <v>1504</v>
      </c>
      <c r="CE26" s="17">
        <v>277</v>
      </c>
      <c r="CF26" s="15" t="s">
        <v>1793</v>
      </c>
      <c r="CH26" s="55">
        <f>IF(Regn2!$R26&gt;1,Regn2!AL26,"")</f>
        <v>7600</v>
      </c>
      <c r="CI26" s="15" t="str">
        <f>IF(Regn2!AO26&lt;&gt;0,Regn2!AO26,"")</f>
        <v>FE</v>
      </c>
      <c r="CK26" s="16"/>
      <c r="CL26" s="15" t="str">
        <f>IF(Regn2!AO26&lt;&gt;0,Regn2!AO26,"")</f>
        <v>FE</v>
      </c>
      <c r="CN26" s="33">
        <f>IF(Regn2!$R26&gt;1,Regn2!DK26,"")</f>
        <v>16.3125</v>
      </c>
      <c r="CO26" s="15" t="s">
        <v>201</v>
      </c>
      <c r="CQ26" s="38"/>
      <c r="CR26" s="15" t="s">
        <v>201</v>
      </c>
      <c r="CT26" s="55">
        <f>IF(Regn2!$R26&gt;1,Regn2!AR26,"")</f>
        <v>1.2</v>
      </c>
      <c r="CU26" s="15" t="s">
        <v>188</v>
      </c>
      <c r="CW26" s="124"/>
      <c r="CX26" s="15" t="s">
        <v>188</v>
      </c>
      <c r="CZ26" s="25">
        <f>IF(Regn2!$R26&gt;1,Regn2!AW26,"")</f>
        <v>0</v>
      </c>
      <c r="DA26" s="15" t="s">
        <v>188</v>
      </c>
      <c r="DC26" s="17"/>
      <c r="DD26" s="15" t="s">
        <v>188</v>
      </c>
      <c r="DF26" s="25">
        <f>IF(Regn2!$R26&gt;1,Regn2!BB26,"")</f>
        <v>0</v>
      </c>
      <c r="DG26" s="15" t="s">
        <v>192</v>
      </c>
      <c r="DI26" s="16"/>
      <c r="DJ26" s="15" t="s">
        <v>192</v>
      </c>
      <c r="DO26" s="33">
        <f>IF(Regn2!$R26&gt;1,Regn2!BI26,"")</f>
        <v>0</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272.32333333333298</v>
      </c>
      <c r="FS26" s="15" t="s">
        <v>531</v>
      </c>
      <c r="FU26" s="17"/>
      <c r="FV26" s="15" t="s">
        <v>531</v>
      </c>
      <c r="FX26" s="32">
        <f>IF(Regn2!$R26&gt;1,Regn2!HR26,"")</f>
        <v>272.32333333333298</v>
      </c>
      <c r="FY26" s="15" t="s">
        <v>531</v>
      </c>
      <c r="GA26" s="17"/>
      <c r="GB26" s="15" t="s">
        <v>531</v>
      </c>
      <c r="GD26" s="15">
        <f>IF(Regn2!$R26&gt;1,RetentionNbal,"")</f>
        <v>65</v>
      </c>
      <c r="GE26" s="15" t="s">
        <v>205</v>
      </c>
      <c r="GF26" s="17"/>
      <c r="GG26" s="15" t="s">
        <v>205</v>
      </c>
      <c r="GI26" s="15" t="str">
        <f>IF(Regn2!$R26&lt;=1,"",VLOOKUP(Regn2!$R26,Afgr,2))</f>
        <v>Kløvergræs, 4 slæt</v>
      </c>
      <c r="GK26" s="25">
        <f>IF(Regn2!$R26&gt;1,Regn2!IO26,"")</f>
        <v>420</v>
      </c>
      <c r="GL26" s="15" t="s">
        <v>188</v>
      </c>
      <c r="GN26" s="16"/>
      <c r="GO26" s="15" t="s">
        <v>188</v>
      </c>
      <c r="GQ26" s="25">
        <f>IF(Regn2!$R26&gt;1,Regn2!JK26,"")</f>
        <v>338</v>
      </c>
      <c r="GR26" s="15" t="s">
        <v>188</v>
      </c>
      <c r="GT26" s="16"/>
      <c r="GU26" s="15" t="s">
        <v>188</v>
      </c>
      <c r="GW26" s="25">
        <f>IF(Regn2!$R26&gt;1,Regn2!JO26,"")</f>
        <v>0</v>
      </c>
      <c r="GX26" s="15" t="s">
        <v>188</v>
      </c>
      <c r="GZ26" s="16"/>
      <c r="HA26" s="15" t="s">
        <v>188</v>
      </c>
      <c r="HC26" s="25">
        <f>IF(Regn2!$R26&gt;1,Regn2!JS26,"")</f>
        <v>395.2</v>
      </c>
      <c r="HD26" s="15" t="s">
        <v>188</v>
      </c>
      <c r="HF26" s="16"/>
      <c r="HG26" s="15" t="s">
        <v>188</v>
      </c>
      <c r="HI26" s="25">
        <f>IF(Regn2!$R26&gt;1,Regn2!JY26,"")</f>
        <v>0</v>
      </c>
      <c r="HJ26" s="15" t="s">
        <v>362</v>
      </c>
      <c r="HL26" s="16"/>
      <c r="HM26" s="15" t="s">
        <v>188</v>
      </c>
      <c r="HO26" s="25">
        <f>IF(Regn2!$R26&gt;1,Regn2!KL26,"")</f>
        <v>125</v>
      </c>
      <c r="HP26" s="15" t="s">
        <v>188</v>
      </c>
      <c r="HR26" s="16"/>
      <c r="HS26" s="15" t="s">
        <v>188</v>
      </c>
      <c r="HU26" s="25">
        <f>IF(Regn2!$R26&gt;1,Regn2!KP26,"")</f>
        <v>420</v>
      </c>
      <c r="HV26" s="15" t="s">
        <v>188</v>
      </c>
      <c r="HX26" s="16"/>
      <c r="HY26" s="15" t="s">
        <v>188</v>
      </c>
      <c r="IA26" s="25">
        <f>IF(Regn2!$R26&gt;1,Regn2!KT26,"")</f>
        <v>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3706</v>
      </c>
      <c r="IT26" s="15" t="s">
        <v>188</v>
      </c>
      <c r="IV26" s="16"/>
      <c r="IW26" s="15" t="s">
        <v>405</v>
      </c>
      <c r="IY26" s="25">
        <f>IF(Regn2!$R26&gt;1,Regn2!LM26,"")</f>
        <v>0</v>
      </c>
      <c r="IZ26" s="15" t="s">
        <v>188</v>
      </c>
      <c r="JB26" s="16"/>
      <c r="JC26" s="15" t="s">
        <v>188</v>
      </c>
      <c r="JH26" s="25">
        <f>IF(Regn2!$R26&gt;1,Regn2!LQ26,"")</f>
        <v>0</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2.02</v>
      </c>
      <c r="AH28" s="15" t="s">
        <v>85</v>
      </c>
      <c r="AL28" s="15" t="str">
        <f>IF(Regn2!$R28&lt;=1,"",VLOOKUP(Regn2!$R28,Afgr,2))</f>
        <v>Permanent græs</v>
      </c>
      <c r="AN28" s="32">
        <f>IF(Regn2!$R28&gt;1,Regn2!AE28,"")</f>
        <v>134</v>
      </c>
      <c r="AO28" s="15" t="s">
        <v>82</v>
      </c>
      <c r="AQ28" s="17"/>
      <c r="AR28" s="15" t="s">
        <v>82</v>
      </c>
      <c r="AT28" s="37">
        <v>52</v>
      </c>
      <c r="AU28" s="15" t="s">
        <v>82</v>
      </c>
      <c r="AX28" s="17"/>
      <c r="AY28" s="15" t="s">
        <v>82</v>
      </c>
      <c r="BA28" s="17">
        <v>7</v>
      </c>
      <c r="BB28" s="15" t="s">
        <v>1504</v>
      </c>
      <c r="BD28" s="17">
        <v>27</v>
      </c>
      <c r="BE28" s="15" t="s">
        <v>1793</v>
      </c>
      <c r="BH28" s="17"/>
      <c r="BI28" s="15" t="s">
        <v>82</v>
      </c>
      <c r="BJ28" s="37">
        <v>75</v>
      </c>
      <c r="BK28" s="15" t="s">
        <v>205</v>
      </c>
      <c r="BM28" s="37"/>
      <c r="BN28" s="15" t="s">
        <v>82</v>
      </c>
      <c r="BP28" s="37">
        <v>73.5</v>
      </c>
      <c r="BQ28" s="15" t="s">
        <v>205</v>
      </c>
      <c r="BT28" s="17"/>
      <c r="BU28" s="15" t="s">
        <v>82</v>
      </c>
      <c r="BW28" s="17"/>
      <c r="BX28" s="15" t="s">
        <v>82</v>
      </c>
      <c r="BY28" s="37">
        <v>75</v>
      </c>
      <c r="BZ28" s="15" t="s">
        <v>205</v>
      </c>
      <c r="CB28" s="17"/>
      <c r="CC28" s="15" t="s">
        <v>1504</v>
      </c>
      <c r="CE28" s="17"/>
      <c r="CF28" s="15" t="s">
        <v>1793</v>
      </c>
      <c r="CH28" s="55">
        <f>IF(Regn2!$R28&gt;1,Regn2!AL28,"")</f>
        <v>3000</v>
      </c>
      <c r="CI28" s="15" t="str">
        <f>IF(Regn2!AO28&lt;&gt;0,Regn2!AO28,"")</f>
        <v>FE</v>
      </c>
      <c r="CK28" s="16"/>
      <c r="CL28" s="15" t="str">
        <f>IF(Regn2!AO28&lt;&gt;0,Regn2!AO28,"")</f>
        <v>FE</v>
      </c>
      <c r="CN28" s="33">
        <f>IF(Regn2!$R28&gt;1,Regn2!DK28,"")</f>
        <v>14</v>
      </c>
      <c r="CO28" s="15" t="s">
        <v>201</v>
      </c>
      <c r="CQ28" s="38"/>
      <c r="CR28" s="15" t="s">
        <v>201</v>
      </c>
      <c r="CT28" s="55">
        <f>IF(Regn2!$R28&gt;1,Regn2!AR28,"")</f>
        <v>1.2</v>
      </c>
      <c r="CU28" s="15" t="s">
        <v>188</v>
      </c>
      <c r="CW28" s="124"/>
      <c r="CX28" s="15" t="s">
        <v>188</v>
      </c>
      <c r="CZ28" s="25">
        <f>IF(Regn2!$R28&gt;1,Regn2!AW28,"")</f>
        <v>0</v>
      </c>
      <c r="DA28" s="15" t="s">
        <v>188</v>
      </c>
      <c r="DC28" s="17"/>
      <c r="DD28" s="15" t="s">
        <v>188</v>
      </c>
      <c r="DF28" s="25">
        <f>IF(Regn2!$R28&gt;1,Regn2!BB28,"")</f>
        <v>0</v>
      </c>
      <c r="DG28" s="15" t="s">
        <v>192</v>
      </c>
      <c r="DI28" s="16"/>
      <c r="DJ28" s="15" t="s">
        <v>192</v>
      </c>
      <c r="DO28" s="33">
        <f>IF(Regn2!$R28&gt;1,Regn2!BI28,"")</f>
        <v>0</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272.32333333333298</v>
      </c>
      <c r="FS28" s="15" t="s">
        <v>531</v>
      </c>
      <c r="FU28" s="17"/>
      <c r="FV28" s="15" t="s">
        <v>531</v>
      </c>
      <c r="FX28" s="32">
        <f>IF(Regn2!$R28&gt;1,Regn2!HR28,"")</f>
        <v>272.32333333333298</v>
      </c>
      <c r="FY28" s="15" t="s">
        <v>531</v>
      </c>
      <c r="GA28" s="17"/>
      <c r="GB28" s="15" t="s">
        <v>531</v>
      </c>
      <c r="GD28" s="15">
        <f>IF(Regn2!$R28&gt;1,RetentionNbal,"")</f>
        <v>65</v>
      </c>
      <c r="GE28" s="15" t="s">
        <v>205</v>
      </c>
      <c r="GF28" s="17"/>
      <c r="GG28" s="15" t="s">
        <v>205</v>
      </c>
      <c r="GI28" s="15" t="str">
        <f>IF(Regn2!$R28&lt;=1,"",VLOOKUP(Regn2!$R28,Afgr,2))</f>
        <v>Permanent græs</v>
      </c>
      <c r="GK28" s="25">
        <f>IF(Regn2!$R28&gt;1,Regn2!IO28,"")</f>
        <v>0</v>
      </c>
      <c r="GL28" s="15" t="s">
        <v>188</v>
      </c>
      <c r="GN28" s="16"/>
      <c r="GO28" s="15" t="s">
        <v>188</v>
      </c>
      <c r="GQ28" s="25">
        <f>IF(Regn2!$R28&gt;1,Regn2!JK28,"")</f>
        <v>712.19999999999993</v>
      </c>
      <c r="GR28" s="15" t="s">
        <v>188</v>
      </c>
      <c r="GT28" s="16"/>
      <c r="GU28" s="15" t="s">
        <v>188</v>
      </c>
      <c r="GW28" s="25">
        <f>IF(Regn2!$R28&gt;1,Regn2!JO28,"")</f>
        <v>0</v>
      </c>
      <c r="GX28" s="15" t="s">
        <v>188</v>
      </c>
      <c r="GZ28" s="16"/>
      <c r="HA28" s="15" t="s">
        <v>188</v>
      </c>
      <c r="HC28" s="25">
        <f>IF(Regn2!$R28&gt;1,Regn2!JS28,"")</f>
        <v>0</v>
      </c>
      <c r="HD28" s="15" t="s">
        <v>188</v>
      </c>
      <c r="HF28" s="16"/>
      <c r="HG28" s="15" t="s">
        <v>188</v>
      </c>
      <c r="HI28" s="25">
        <f>IF(Regn2!$R28&gt;1,Regn2!JY28,"")</f>
        <v>0</v>
      </c>
      <c r="HJ28" s="15" t="s">
        <v>362</v>
      </c>
      <c r="HL28" s="16"/>
      <c r="HM28" s="15" t="s">
        <v>188</v>
      </c>
      <c r="HO28" s="25">
        <f>IF(Regn2!$R28&gt;1,Regn2!KL28,"")</f>
        <v>0</v>
      </c>
      <c r="HP28" s="15" t="s">
        <v>188</v>
      </c>
      <c r="HR28" s="16"/>
      <c r="HS28" s="15" t="s">
        <v>188</v>
      </c>
      <c r="HU28" s="25">
        <f>IF(Regn2!$R28&gt;1,Regn2!KP28,"")</f>
        <v>280</v>
      </c>
      <c r="HV28" s="15" t="s">
        <v>188</v>
      </c>
      <c r="HX28" s="16"/>
      <c r="HY28" s="15" t="s">
        <v>188</v>
      </c>
      <c r="IA28" s="25">
        <f>IF(Regn2!$R28&gt;1,Regn2!KT28,"")</f>
        <v>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0</v>
      </c>
      <c r="IT28" s="15" t="s">
        <v>188</v>
      </c>
      <c r="IV28" s="16"/>
      <c r="IW28" s="15" t="s">
        <v>405</v>
      </c>
      <c r="IY28" s="25">
        <f>IF(Regn2!$R28&gt;1,Regn2!LM28,"")</f>
        <v>0</v>
      </c>
      <c r="IZ28" s="15" t="s">
        <v>188</v>
      </c>
      <c r="JB28" s="16"/>
      <c r="JC28" s="15" t="s">
        <v>188</v>
      </c>
      <c r="JH28" s="25">
        <f>IF(Regn2!$R28&gt;1,Regn2!LQ28,"")</f>
        <v>0</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2.72</v>
      </c>
      <c r="AH30" s="15" t="s">
        <v>85</v>
      </c>
      <c r="AL30" s="15" t="str">
        <f>IF(Regn2!$R30&lt;=1,"",VLOOKUP(Regn2!$R30,Afgr,2))</f>
        <v>Vårbyg, foder</v>
      </c>
      <c r="AN30" s="32">
        <f>IF(Regn2!$R30&gt;1,Regn2!AE30,"")</f>
        <v>110</v>
      </c>
      <c r="AO30" s="15" t="s">
        <v>82</v>
      </c>
      <c r="AQ30" s="17"/>
      <c r="AR30" s="15" t="s">
        <v>82</v>
      </c>
      <c r="AT30" s="37">
        <v>27</v>
      </c>
      <c r="AU30" s="15" t="s">
        <v>82</v>
      </c>
      <c r="AX30" s="17"/>
      <c r="AY30" s="15" t="s">
        <v>82</v>
      </c>
      <c r="BA30" s="17"/>
      <c r="BB30" s="15" t="s">
        <v>1504</v>
      </c>
      <c r="BD30" s="17"/>
      <c r="BE30" s="15" t="s">
        <v>1793</v>
      </c>
      <c r="BH30" s="17"/>
      <c r="BI30" s="15" t="s">
        <v>82</v>
      </c>
      <c r="BJ30" s="37">
        <v>75</v>
      </c>
      <c r="BK30" s="15" t="s">
        <v>205</v>
      </c>
      <c r="BM30" s="37">
        <v>87</v>
      </c>
      <c r="BN30" s="15" t="s">
        <v>82</v>
      </c>
      <c r="BP30" s="37">
        <v>73.5</v>
      </c>
      <c r="BQ30" s="15" t="s">
        <v>205</v>
      </c>
      <c r="BT30" s="17"/>
      <c r="BU30" s="15" t="s">
        <v>82</v>
      </c>
      <c r="BW30" s="17"/>
      <c r="BX30" s="15" t="s">
        <v>82</v>
      </c>
      <c r="BY30" s="37">
        <v>75</v>
      </c>
      <c r="BZ30" s="15" t="s">
        <v>205</v>
      </c>
      <c r="CB30" s="17">
        <v>17</v>
      </c>
      <c r="CC30" s="15" t="s">
        <v>1504</v>
      </c>
      <c r="CE30" s="17">
        <v>47</v>
      </c>
      <c r="CF30" s="15" t="s">
        <v>1793</v>
      </c>
      <c r="CH30" s="55">
        <f>IF(Regn2!$R30&gt;1,Regn2!AL30,"")</f>
        <v>56</v>
      </c>
      <c r="CI30" s="15" t="str">
        <f>IF(Regn2!AO30&lt;&gt;0,Regn2!AO30,"")</f>
        <v>hkg</v>
      </c>
      <c r="CK30" s="16"/>
      <c r="CL30" s="15" t="str">
        <f>IF(Regn2!AO30&lt;&gt;0,Regn2!AO30,"")</f>
        <v>hkg</v>
      </c>
      <c r="CN30" s="33">
        <f>IF(Regn2!$R30&gt;1,Regn2!DK30,"")</f>
        <v>9.5274999999999999</v>
      </c>
      <c r="CO30" s="15" t="s">
        <v>201</v>
      </c>
      <c r="CQ30" s="38"/>
      <c r="CR30" s="15" t="s">
        <v>201</v>
      </c>
      <c r="CT30" s="55">
        <f>IF(Regn2!$R30&gt;1,Regn2!AR30,"")</f>
        <v>145</v>
      </c>
      <c r="CU30" s="15" t="s">
        <v>188</v>
      </c>
      <c r="CW30" s="124"/>
      <c r="CX30" s="15" t="s">
        <v>188</v>
      </c>
      <c r="CZ30" s="25">
        <f>IF(Regn2!$R30&gt;1,Regn2!AW30,"")</f>
        <v>0</v>
      </c>
      <c r="DA30" s="15" t="s">
        <v>188</v>
      </c>
      <c r="DC30" s="17"/>
      <c r="DD30" s="15" t="s">
        <v>188</v>
      </c>
      <c r="DF30" s="25">
        <f>IF(Regn2!$R30&gt;1,Regn2!BB30,"")</f>
        <v>3000</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304.76666666666603</v>
      </c>
      <c r="FS30" s="15" t="s">
        <v>531</v>
      </c>
      <c r="FU30" s="17"/>
      <c r="FV30" s="15" t="s">
        <v>531</v>
      </c>
      <c r="FX30" s="32">
        <f>IF(Regn2!$R30&gt;1,Regn2!HR30,"")</f>
        <v>304.76666666666603</v>
      </c>
      <c r="FY30" s="15" t="s">
        <v>531</v>
      </c>
      <c r="GA30" s="17"/>
      <c r="GB30" s="15" t="s">
        <v>531</v>
      </c>
      <c r="GD30" s="15">
        <f>IF(Regn2!$R30&gt;1,RetentionNbal,"")</f>
        <v>65</v>
      </c>
      <c r="GE30" s="15" t="s">
        <v>205</v>
      </c>
      <c r="GF30" s="17"/>
      <c r="GG30" s="15" t="s">
        <v>205</v>
      </c>
      <c r="GI30" s="15" t="str">
        <f>IF(Regn2!$R30&lt;=1,"",VLOOKUP(Regn2!$R30,Afgr,2))</f>
        <v>Vårbyg, foder</v>
      </c>
      <c r="GK30" s="25">
        <f>IF(Regn2!$R30&gt;1,Regn2!IO30,"")</f>
        <v>488</v>
      </c>
      <c r="GL30" s="15" t="s">
        <v>188</v>
      </c>
      <c r="GN30" s="16"/>
      <c r="GO30" s="15" t="s">
        <v>188</v>
      </c>
      <c r="GQ30" s="25">
        <f>IF(Regn2!$R30&gt;1,Regn2!JK30,"")</f>
        <v>228.14999999999998</v>
      </c>
      <c r="GR30" s="15" t="s">
        <v>188</v>
      </c>
      <c r="GT30" s="16"/>
      <c r="GU30" s="15" t="s">
        <v>188</v>
      </c>
      <c r="GW30" s="25">
        <f>IF(Regn2!$R30&gt;1,Regn2!JO30,"")</f>
        <v>283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140</v>
      </c>
      <c r="HV30" s="15" t="s">
        <v>188</v>
      </c>
      <c r="HX30" s="16"/>
      <c r="HY30" s="15" t="s">
        <v>188</v>
      </c>
      <c r="IA30" s="25">
        <f>IF(Regn2!$R30&gt;1,Regn2!KT30,"")</f>
        <v>300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960.58823529411757</v>
      </c>
      <c r="IT30" s="15" t="s">
        <v>188</v>
      </c>
      <c r="IV30" s="16"/>
      <c r="IW30" s="15" t="s">
        <v>405</v>
      </c>
      <c r="IY30" s="25">
        <f>IF(Regn2!$R30&gt;1,Regn2!LM30,"")</f>
        <v>725</v>
      </c>
      <c r="IZ30" s="15" t="s">
        <v>188</v>
      </c>
      <c r="JB30" s="16"/>
      <c r="JC30" s="15" t="s">
        <v>188</v>
      </c>
      <c r="JH30" s="25">
        <f>IF(Regn2!$R30&gt;1,Regn2!LQ30,"")</f>
        <v>517.44000000000005</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3.27</v>
      </c>
      <c r="AH32" s="15" t="s">
        <v>85</v>
      </c>
      <c r="AL32" s="15" t="str">
        <f>IF(Regn2!$R32&lt;=1,"",VLOOKUP(Regn2!$R32,Afgr,2))</f>
        <v>Vårbyg, foder</v>
      </c>
      <c r="AN32" s="32">
        <f>IF(Regn2!$R32&gt;1,Regn2!AE32,"")</f>
        <v>110</v>
      </c>
      <c r="AO32" s="15" t="s">
        <v>82</v>
      </c>
      <c r="AQ32" s="17"/>
      <c r="AR32" s="15" t="s">
        <v>82</v>
      </c>
      <c r="AT32" s="37">
        <v>27</v>
      </c>
      <c r="AU32" s="15" t="s">
        <v>82</v>
      </c>
      <c r="AX32" s="17"/>
      <c r="AY32" s="15" t="s">
        <v>82</v>
      </c>
      <c r="BA32" s="17"/>
      <c r="BB32" s="15" t="s">
        <v>1504</v>
      </c>
      <c r="BD32" s="17"/>
      <c r="BE32" s="15" t="s">
        <v>1793</v>
      </c>
      <c r="BH32" s="17"/>
      <c r="BI32" s="15" t="s">
        <v>82</v>
      </c>
      <c r="BJ32" s="37">
        <v>75</v>
      </c>
      <c r="BK32" s="15" t="s">
        <v>205</v>
      </c>
      <c r="BM32" s="37">
        <v>87</v>
      </c>
      <c r="BN32" s="15" t="s">
        <v>82</v>
      </c>
      <c r="BP32" s="37">
        <v>73.5</v>
      </c>
      <c r="BQ32" s="15" t="s">
        <v>205</v>
      </c>
      <c r="BT32" s="17"/>
      <c r="BU32" s="15" t="s">
        <v>82</v>
      </c>
      <c r="BW32" s="17"/>
      <c r="BX32" s="15" t="s">
        <v>82</v>
      </c>
      <c r="BY32" s="37">
        <v>75</v>
      </c>
      <c r="BZ32" s="15" t="s">
        <v>205</v>
      </c>
      <c r="CB32" s="17">
        <v>17</v>
      </c>
      <c r="CC32" s="15" t="s">
        <v>1504</v>
      </c>
      <c r="CE32" s="17">
        <v>47</v>
      </c>
      <c r="CF32" s="15" t="s">
        <v>1793</v>
      </c>
      <c r="CH32" s="55">
        <f>IF(Regn2!$R32&gt;1,Regn2!AL32,"")</f>
        <v>56</v>
      </c>
      <c r="CI32" s="15" t="str">
        <f>IF(Regn2!AO32&lt;&gt;0,Regn2!AO32,"")</f>
        <v>hkg</v>
      </c>
      <c r="CK32" s="16"/>
      <c r="CL32" s="15" t="str">
        <f>IF(Regn2!AO32&lt;&gt;0,Regn2!AO32,"")</f>
        <v>hkg</v>
      </c>
      <c r="CN32" s="33">
        <f>IF(Regn2!$R32&gt;1,Regn2!DK32,"")</f>
        <v>9.5274999999999999</v>
      </c>
      <c r="CO32" s="15" t="s">
        <v>201</v>
      </c>
      <c r="CQ32" s="38"/>
      <c r="CR32" s="15" t="s">
        <v>201</v>
      </c>
      <c r="CT32" s="55">
        <f>IF(Regn2!$R32&gt;1,Regn2!AR32,"")</f>
        <v>145</v>
      </c>
      <c r="CU32" s="15" t="s">
        <v>188</v>
      </c>
      <c r="CW32" s="124"/>
      <c r="CX32" s="15" t="s">
        <v>188</v>
      </c>
      <c r="CZ32" s="25">
        <f>IF(Regn2!$R32&gt;1,Regn2!AW32,"")</f>
        <v>0</v>
      </c>
      <c r="DA32" s="15" t="s">
        <v>188</v>
      </c>
      <c r="DC32" s="17"/>
      <c r="DD32" s="15" t="s">
        <v>188</v>
      </c>
      <c r="DF32" s="25">
        <f>IF(Regn2!$R32&gt;1,Regn2!BB32,"")</f>
        <v>3000</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304.76666666666603</v>
      </c>
      <c r="FS32" s="15" t="s">
        <v>531</v>
      </c>
      <c r="FU32" s="17"/>
      <c r="FV32" s="15" t="s">
        <v>531</v>
      </c>
      <c r="FX32" s="32">
        <f>IF(Regn2!$R32&gt;1,Regn2!HR32,"")</f>
        <v>304.76666666666603</v>
      </c>
      <c r="FY32" s="15" t="s">
        <v>531</v>
      </c>
      <c r="GA32" s="17"/>
      <c r="GB32" s="15" t="s">
        <v>531</v>
      </c>
      <c r="GD32" s="15">
        <f>IF(Regn2!$R32&gt;1,RetentionNbal,"")</f>
        <v>65</v>
      </c>
      <c r="GE32" s="15" t="s">
        <v>205</v>
      </c>
      <c r="GF32" s="17"/>
      <c r="GG32" s="15" t="s">
        <v>205</v>
      </c>
      <c r="GI32" s="15" t="str">
        <f>IF(Regn2!$R32&lt;=1,"",VLOOKUP(Regn2!$R32,Afgr,2))</f>
        <v>Vårbyg, foder</v>
      </c>
      <c r="GK32" s="25">
        <f>IF(Regn2!$R32&gt;1,Regn2!IO32,"")</f>
        <v>488</v>
      </c>
      <c r="GL32" s="15" t="s">
        <v>188</v>
      </c>
      <c r="GN32" s="16"/>
      <c r="GO32" s="15" t="s">
        <v>188</v>
      </c>
      <c r="GQ32" s="25">
        <f>IF(Regn2!$R32&gt;1,Regn2!JK32,"")</f>
        <v>228.14999999999998</v>
      </c>
      <c r="GR32" s="15" t="s">
        <v>188</v>
      </c>
      <c r="GT32" s="16"/>
      <c r="GU32" s="15" t="s">
        <v>188</v>
      </c>
      <c r="GW32" s="25">
        <f>IF(Regn2!$R32&gt;1,Regn2!JO32,"")</f>
        <v>283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140</v>
      </c>
      <c r="HV32" s="15" t="s">
        <v>188</v>
      </c>
      <c r="HX32" s="16"/>
      <c r="HY32" s="15" t="s">
        <v>188</v>
      </c>
      <c r="IA32" s="25">
        <f>IF(Regn2!$R32&gt;1,Regn2!KT32,"")</f>
        <v>300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960.58823529411757</v>
      </c>
      <c r="IT32" s="15" t="s">
        <v>188</v>
      </c>
      <c r="IV32" s="16"/>
      <c r="IW32" s="15" t="s">
        <v>405</v>
      </c>
      <c r="IY32" s="25">
        <f>IF(Regn2!$R32&gt;1,Regn2!LM32,"")</f>
        <v>725</v>
      </c>
      <c r="IZ32" s="15" t="s">
        <v>188</v>
      </c>
      <c r="JB32" s="16"/>
      <c r="JC32" s="15" t="s">
        <v>188</v>
      </c>
      <c r="JH32" s="25">
        <f>IF(Regn2!$R32&gt;1,Regn2!LQ32,"")</f>
        <v>517.44000000000005</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8.93</v>
      </c>
      <c r="AH34" s="15" t="s">
        <v>85</v>
      </c>
      <c r="AL34" s="15" t="str">
        <f>IF(Regn2!$R34&lt;=1,"",VLOOKUP(Regn2!$R34,Afgr,2))</f>
        <v>Vårbyg, foder</v>
      </c>
      <c r="AN34" s="32">
        <f>IF(Regn2!$R34&gt;1,Regn2!AE34,"")</f>
        <v>110</v>
      </c>
      <c r="AO34" s="15" t="s">
        <v>82</v>
      </c>
      <c r="AQ34" s="17"/>
      <c r="AR34" s="15" t="s">
        <v>82</v>
      </c>
      <c r="AT34" s="37">
        <v>27</v>
      </c>
      <c r="AU34" s="15" t="s">
        <v>82</v>
      </c>
      <c r="AX34" s="17"/>
      <c r="AY34" s="15" t="s">
        <v>82</v>
      </c>
      <c r="BA34" s="17"/>
      <c r="BB34" s="15" t="s">
        <v>1504</v>
      </c>
      <c r="BD34" s="17"/>
      <c r="BE34" s="15" t="s">
        <v>1793</v>
      </c>
      <c r="BH34" s="17"/>
      <c r="BI34" s="15" t="s">
        <v>82</v>
      </c>
      <c r="BJ34" s="37">
        <v>75</v>
      </c>
      <c r="BK34" s="15" t="s">
        <v>205</v>
      </c>
      <c r="BM34" s="37">
        <v>87</v>
      </c>
      <c r="BN34" s="15" t="s">
        <v>82</v>
      </c>
      <c r="BP34" s="37">
        <v>73.5</v>
      </c>
      <c r="BQ34" s="15" t="s">
        <v>205</v>
      </c>
      <c r="BT34" s="17"/>
      <c r="BU34" s="15" t="s">
        <v>82</v>
      </c>
      <c r="BW34" s="17"/>
      <c r="BX34" s="15" t="s">
        <v>82</v>
      </c>
      <c r="BY34" s="37">
        <v>75</v>
      </c>
      <c r="BZ34" s="15" t="s">
        <v>205</v>
      </c>
      <c r="CB34" s="17">
        <v>17</v>
      </c>
      <c r="CC34" s="15" t="s">
        <v>1504</v>
      </c>
      <c r="CE34" s="17">
        <v>47</v>
      </c>
      <c r="CF34" s="15" t="s">
        <v>1793</v>
      </c>
      <c r="CH34" s="55">
        <f>IF(Regn2!$R34&gt;1,Regn2!AL34,"")</f>
        <v>56</v>
      </c>
      <c r="CI34" s="15" t="str">
        <f>IF(Regn2!AO34&lt;&gt;0,Regn2!AO34,"")</f>
        <v>hkg</v>
      </c>
      <c r="CK34" s="16"/>
      <c r="CL34" s="15" t="str">
        <f>IF(Regn2!AO34&lt;&gt;0,Regn2!AO34,"")</f>
        <v>hkg</v>
      </c>
      <c r="CN34" s="33">
        <f>IF(Regn2!$R34&gt;1,Regn2!DK34,"")</f>
        <v>9.5274999999999999</v>
      </c>
      <c r="CO34" s="15" t="s">
        <v>201</v>
      </c>
      <c r="CQ34" s="38"/>
      <c r="CR34" s="15" t="s">
        <v>201</v>
      </c>
      <c r="CT34" s="55">
        <f>IF(Regn2!$R34&gt;1,Regn2!AR34,"")</f>
        <v>145</v>
      </c>
      <c r="CU34" s="15" t="s">
        <v>188</v>
      </c>
      <c r="CW34" s="124"/>
      <c r="CX34" s="15" t="s">
        <v>188</v>
      </c>
      <c r="CZ34" s="25">
        <f>IF(Regn2!$R34&gt;1,Regn2!AW34,"")</f>
        <v>0</v>
      </c>
      <c r="DA34" s="15" t="s">
        <v>188</v>
      </c>
      <c r="DC34" s="17"/>
      <c r="DD34" s="15" t="s">
        <v>188</v>
      </c>
      <c r="DF34" s="25">
        <f>IF(Regn2!$R34&gt;1,Regn2!BB34,"")</f>
        <v>3000</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304.76666666666603</v>
      </c>
      <c r="FY34" s="15" t="s">
        <v>531</v>
      </c>
      <c r="GA34" s="17"/>
      <c r="GB34" s="15" t="s">
        <v>531</v>
      </c>
      <c r="GD34" s="15">
        <f>IF(Regn2!$R34&gt;1,RetentionNbal,"")</f>
        <v>65</v>
      </c>
      <c r="GE34" s="15" t="s">
        <v>205</v>
      </c>
      <c r="GF34" s="17"/>
      <c r="GG34" s="15" t="s">
        <v>205</v>
      </c>
      <c r="GI34" s="15" t="str">
        <f>IF(Regn2!$R34&lt;=1,"",VLOOKUP(Regn2!$R34,Afgr,2))</f>
        <v>Vårbyg, foder</v>
      </c>
      <c r="GK34" s="25">
        <f>IF(Regn2!$R34&gt;1,Regn2!IO34,"")</f>
        <v>488</v>
      </c>
      <c r="GL34" s="15" t="s">
        <v>188</v>
      </c>
      <c r="GN34" s="16"/>
      <c r="GO34" s="15" t="s">
        <v>188</v>
      </c>
      <c r="GQ34" s="25">
        <f>IF(Regn2!$R34&gt;1,Regn2!JK34,"")</f>
        <v>228.14999999999998</v>
      </c>
      <c r="GR34" s="15" t="s">
        <v>188</v>
      </c>
      <c r="GT34" s="16"/>
      <c r="GU34" s="15" t="s">
        <v>188</v>
      </c>
      <c r="GW34" s="25">
        <f>IF(Regn2!$R34&gt;1,Regn2!JO34,"")</f>
        <v>283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140</v>
      </c>
      <c r="HV34" s="15" t="s">
        <v>188</v>
      </c>
      <c r="HX34" s="16"/>
      <c r="HY34" s="15" t="s">
        <v>188</v>
      </c>
      <c r="IA34" s="25">
        <f>IF(Regn2!$R34&gt;1,Regn2!KT34,"")</f>
        <v>300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960.58823529411757</v>
      </c>
      <c r="IT34" s="15" t="s">
        <v>188</v>
      </c>
      <c r="IV34" s="16"/>
      <c r="IW34" s="15" t="s">
        <v>405</v>
      </c>
      <c r="IY34" s="25">
        <f>IF(Regn2!$R34&gt;1,Regn2!LM34,"")</f>
        <v>725</v>
      </c>
      <c r="IZ34" s="15" t="s">
        <v>188</v>
      </c>
      <c r="JB34" s="16"/>
      <c r="JC34" s="15" t="s">
        <v>188</v>
      </c>
      <c r="JH34" s="25">
        <f>IF(Regn2!$R34&gt;1,Regn2!LQ34,"")</f>
        <v>517.44000000000005</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3.78</v>
      </c>
      <c r="AH36" s="15" t="s">
        <v>85</v>
      </c>
      <c r="AL36" s="15" t="str">
        <f>IF(Regn2!$R36&lt;=1,"",VLOOKUP(Regn2!$R36,Afgr,2))</f>
        <v>Vårbyg, foder</v>
      </c>
      <c r="AN36" s="32">
        <f>IF(Regn2!$R36&gt;1,Regn2!AE36,"")</f>
        <v>110</v>
      </c>
      <c r="AO36" s="15" t="s">
        <v>82</v>
      </c>
      <c r="AQ36" s="17"/>
      <c r="AR36" s="15" t="s">
        <v>82</v>
      </c>
      <c r="AT36" s="37">
        <v>27</v>
      </c>
      <c r="AU36" s="15" t="s">
        <v>82</v>
      </c>
      <c r="AX36" s="17"/>
      <c r="AY36" s="15" t="s">
        <v>82</v>
      </c>
      <c r="BA36" s="17"/>
      <c r="BB36" s="15" t="s">
        <v>1504</v>
      </c>
      <c r="BD36" s="17"/>
      <c r="BE36" s="15" t="s">
        <v>1793</v>
      </c>
      <c r="BH36" s="17"/>
      <c r="BI36" s="15" t="s">
        <v>82</v>
      </c>
      <c r="BJ36" s="37">
        <v>75</v>
      </c>
      <c r="BK36" s="15" t="s">
        <v>205</v>
      </c>
      <c r="BM36" s="37">
        <v>87</v>
      </c>
      <c r="BN36" s="15" t="s">
        <v>82</v>
      </c>
      <c r="BP36" s="37">
        <v>73.5</v>
      </c>
      <c r="BQ36" s="15" t="s">
        <v>205</v>
      </c>
      <c r="BT36" s="17"/>
      <c r="BU36" s="15" t="s">
        <v>82</v>
      </c>
      <c r="BW36" s="17"/>
      <c r="BX36" s="15" t="s">
        <v>82</v>
      </c>
      <c r="BY36" s="37">
        <v>75</v>
      </c>
      <c r="BZ36" s="15" t="s">
        <v>205</v>
      </c>
      <c r="CB36" s="17">
        <v>17</v>
      </c>
      <c r="CC36" s="15" t="s">
        <v>1504</v>
      </c>
      <c r="CE36" s="17">
        <v>47</v>
      </c>
      <c r="CF36" s="15" t="s">
        <v>1793</v>
      </c>
      <c r="CH36" s="55">
        <f>IF(Regn2!$R36&gt;1,Regn2!AL36,"")</f>
        <v>56</v>
      </c>
      <c r="CI36" s="15" t="str">
        <f>IF(Regn2!AO36&lt;&gt;0,Regn2!AO36,"")</f>
        <v>hkg</v>
      </c>
      <c r="CK36" s="16"/>
      <c r="CL36" s="15" t="str">
        <f>IF(Regn2!AO36&lt;&gt;0,Regn2!AO36,"")</f>
        <v>hkg</v>
      </c>
      <c r="CN36" s="33">
        <f>IF(Regn2!$R36&gt;1,Regn2!DK36,"")</f>
        <v>9.5274999999999999</v>
      </c>
      <c r="CO36" s="15" t="s">
        <v>201</v>
      </c>
      <c r="CQ36" s="38"/>
      <c r="CR36" s="15" t="s">
        <v>201</v>
      </c>
      <c r="CT36" s="55">
        <f>IF(Regn2!$R36&gt;1,Regn2!AR36,"")</f>
        <v>145</v>
      </c>
      <c r="CU36" s="15" t="s">
        <v>188</v>
      </c>
      <c r="CW36" s="124"/>
      <c r="CX36" s="15" t="s">
        <v>188</v>
      </c>
      <c r="CZ36" s="25">
        <f>IF(Regn2!$R36&gt;1,Regn2!AW36,"")</f>
        <v>0</v>
      </c>
      <c r="DA36" s="15" t="s">
        <v>188</v>
      </c>
      <c r="DC36" s="17"/>
      <c r="DD36" s="15" t="s">
        <v>188</v>
      </c>
      <c r="DF36" s="25">
        <f>IF(Regn2!$R36&gt;1,Regn2!BB36,"")</f>
        <v>3000</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304.76666666666603</v>
      </c>
      <c r="FY36" s="15" t="s">
        <v>531</v>
      </c>
      <c r="GA36" s="17"/>
      <c r="GB36" s="15" t="s">
        <v>531</v>
      </c>
      <c r="GD36" s="15">
        <f>IF(Regn2!$R36&gt;1,RetentionNbal,"")</f>
        <v>65</v>
      </c>
      <c r="GE36" s="15" t="s">
        <v>205</v>
      </c>
      <c r="GF36" s="17"/>
      <c r="GG36" s="15" t="s">
        <v>205</v>
      </c>
      <c r="GI36" s="15" t="str">
        <f>IF(Regn2!$R36&lt;=1,"",VLOOKUP(Regn2!$R36,Afgr,2))</f>
        <v>Vårbyg, foder</v>
      </c>
      <c r="GK36" s="25">
        <f>IF(Regn2!$R36&gt;1,Regn2!IO36,"")</f>
        <v>488</v>
      </c>
      <c r="GL36" s="15" t="s">
        <v>188</v>
      </c>
      <c r="GN36" s="16"/>
      <c r="GO36" s="15" t="s">
        <v>188</v>
      </c>
      <c r="GQ36" s="25">
        <f>IF(Regn2!$R36&gt;1,Regn2!JK36,"")</f>
        <v>228.14999999999998</v>
      </c>
      <c r="GR36" s="15" t="s">
        <v>188</v>
      </c>
      <c r="GT36" s="16"/>
      <c r="GU36" s="15" t="s">
        <v>188</v>
      </c>
      <c r="GW36" s="25">
        <f>IF(Regn2!$R36&gt;1,Regn2!JO36,"")</f>
        <v>283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140</v>
      </c>
      <c r="HV36" s="15" t="s">
        <v>188</v>
      </c>
      <c r="HX36" s="16"/>
      <c r="HY36" s="15" t="s">
        <v>188</v>
      </c>
      <c r="IA36" s="25">
        <f>IF(Regn2!$R36&gt;1,Regn2!KT36,"")</f>
        <v>300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960.58823529411757</v>
      </c>
      <c r="IT36" s="15" t="s">
        <v>188</v>
      </c>
      <c r="IV36" s="16"/>
      <c r="IW36" s="15" t="s">
        <v>405</v>
      </c>
      <c r="IY36" s="25">
        <f>IF(Regn2!$R36&gt;1,Regn2!LM36,"")</f>
        <v>725</v>
      </c>
      <c r="IZ36" s="15" t="s">
        <v>188</v>
      </c>
      <c r="JB36" s="16"/>
      <c r="JC36" s="15" t="s">
        <v>188</v>
      </c>
      <c r="JH36" s="25">
        <f>IF(Regn2!$R36&gt;1,Regn2!LQ36,"")</f>
        <v>517.44000000000005</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0.72</v>
      </c>
      <c r="AH38" s="15" t="s">
        <v>85</v>
      </c>
      <c r="AL38" s="15" t="str">
        <f>IF(Regn2!$R102&lt;=1,"",VLOOKUP(Regn2!$R102,Afgr,2))</f>
        <v/>
      </c>
      <c r="AN38" s="32" t="str">
        <f>IF(Regn2!$R102&gt;1,Regn2!AE102,"")</f>
        <v/>
      </c>
      <c r="AO38" s="15" t="s">
        <v>82</v>
      </c>
      <c r="AQ38" s="17"/>
      <c r="AR38" s="15" t="s">
        <v>82</v>
      </c>
      <c r="AT38" s="37">
        <v>27</v>
      </c>
      <c r="AU38" s="15" t="s">
        <v>82</v>
      </c>
      <c r="AX38" s="17"/>
      <c r="AY38" s="15" t="s">
        <v>82</v>
      </c>
      <c r="BA38" s="17"/>
      <c r="BB38" s="15" t="s">
        <v>1504</v>
      </c>
      <c r="BD38" s="17"/>
      <c r="BE38" s="15" t="s">
        <v>1793</v>
      </c>
      <c r="BH38" s="17"/>
      <c r="BI38" s="15" t="s">
        <v>82</v>
      </c>
      <c r="BJ38" s="37">
        <v>75</v>
      </c>
      <c r="BK38" s="15" t="s">
        <v>205</v>
      </c>
      <c r="BM38" s="37">
        <v>87</v>
      </c>
      <c r="BN38" s="15" t="s">
        <v>82</v>
      </c>
      <c r="BP38" s="37">
        <v>73.5</v>
      </c>
      <c r="BQ38" s="15" t="s">
        <v>205</v>
      </c>
      <c r="BT38" s="17"/>
      <c r="BU38" s="15" t="s">
        <v>82</v>
      </c>
      <c r="BW38" s="17"/>
      <c r="BX38" s="15" t="s">
        <v>82</v>
      </c>
      <c r="BY38" s="37">
        <v>75</v>
      </c>
      <c r="BZ38" s="15" t="s">
        <v>205</v>
      </c>
      <c r="CB38" s="17">
        <v>17</v>
      </c>
      <c r="CC38" s="15" t="s">
        <v>1504</v>
      </c>
      <c r="CE38" s="17">
        <v>47</v>
      </c>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5.05</v>
      </c>
      <c r="AH40" s="15" t="s">
        <v>85</v>
      </c>
      <c r="AL40" s="15" t="str">
        <f>IF(Regn2!$R40&lt;=1,"",VLOOKUP(Regn2!$R40,Afgr,2))</f>
        <v>Permanent græs</v>
      </c>
      <c r="AN40" s="32">
        <f>IF(Regn2!$R40&gt;1,Regn2!AE40,"")</f>
        <v>134</v>
      </c>
      <c r="AO40" s="15" t="s">
        <v>82</v>
      </c>
      <c r="AQ40" s="17"/>
      <c r="AR40" s="15" t="s">
        <v>82</v>
      </c>
      <c r="AT40" s="37">
        <v>52</v>
      </c>
      <c r="AU40" s="15" t="s">
        <v>82</v>
      </c>
      <c r="AX40" s="17"/>
      <c r="AY40" s="15" t="s">
        <v>82</v>
      </c>
      <c r="BA40" s="17">
        <v>7</v>
      </c>
      <c r="BB40" s="15" t="s">
        <v>1504</v>
      </c>
      <c r="BD40" s="17">
        <v>24</v>
      </c>
      <c r="BE40" s="15" t="s">
        <v>1793</v>
      </c>
      <c r="BH40" s="17"/>
      <c r="BI40" s="15" t="s">
        <v>82</v>
      </c>
      <c r="BJ40" s="37">
        <v>75</v>
      </c>
      <c r="BK40" s="15" t="s">
        <v>205</v>
      </c>
      <c r="BM40" s="37"/>
      <c r="BN40" s="15" t="s">
        <v>82</v>
      </c>
      <c r="BP40" s="37">
        <v>73.5</v>
      </c>
      <c r="BQ40" s="15" t="s">
        <v>205</v>
      </c>
      <c r="BT40" s="17"/>
      <c r="BU40" s="15" t="s">
        <v>82</v>
      </c>
      <c r="BW40" s="17"/>
      <c r="BX40" s="15" t="s">
        <v>82</v>
      </c>
      <c r="BY40" s="37">
        <v>75</v>
      </c>
      <c r="BZ40" s="15" t="s">
        <v>205</v>
      </c>
      <c r="CB40" s="17"/>
      <c r="CC40" s="15" t="s">
        <v>1504</v>
      </c>
      <c r="CE40" s="17"/>
      <c r="CF40" s="15" t="s">
        <v>1793</v>
      </c>
      <c r="CH40" s="55">
        <f>IF(Regn2!$R40&gt;1,Regn2!AL40,"")</f>
        <v>3000</v>
      </c>
      <c r="CI40" s="15" t="str">
        <f>IF(Regn2!AO40&lt;&gt;0,Regn2!AO40,"")</f>
        <v>FE</v>
      </c>
      <c r="CK40" s="16"/>
      <c r="CL40" s="15" t="str">
        <f>IF(Regn2!AO40&lt;&gt;0,Regn2!AO40,"")</f>
        <v>FE</v>
      </c>
      <c r="CN40" s="33">
        <f>IF(Regn2!$R40&gt;1,Regn2!DK40,"")</f>
        <v>14</v>
      </c>
      <c r="CO40" s="15" t="s">
        <v>201</v>
      </c>
      <c r="CQ40" s="38"/>
      <c r="CR40" s="15" t="s">
        <v>201</v>
      </c>
      <c r="CT40" s="55">
        <f>IF(Regn2!$R40&gt;1,Regn2!AR40,"")</f>
        <v>1.2</v>
      </c>
      <c r="CU40" s="15" t="s">
        <v>188</v>
      </c>
      <c r="CW40" s="124"/>
      <c r="CX40" s="15" t="s">
        <v>188</v>
      </c>
      <c r="CZ40" s="25">
        <f>IF(Regn2!$R40&gt;1,Regn2!AW40,"")</f>
        <v>0</v>
      </c>
      <c r="DA40" s="15" t="s">
        <v>188</v>
      </c>
      <c r="DC40" s="17"/>
      <c r="DD40" s="15" t="s">
        <v>188</v>
      </c>
      <c r="DF40" s="25">
        <f>IF(Regn2!$R40&gt;1,Regn2!BB40,"")</f>
        <v>0</v>
      </c>
      <c r="DG40" s="15" t="s">
        <v>192</v>
      </c>
      <c r="DI40" s="16"/>
      <c r="DJ40" s="15" t="s">
        <v>192</v>
      </c>
      <c r="DO40" s="33">
        <f>IF(Regn2!$R40&gt;1,Regn2!BI40,"")</f>
        <v>0</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272.32333333333298</v>
      </c>
      <c r="FS40" s="15" t="s">
        <v>531</v>
      </c>
      <c r="FU40" s="17"/>
      <c r="FV40" s="15" t="s">
        <v>531</v>
      </c>
      <c r="FX40" s="32">
        <f>IF(Regn2!$R40&gt;1,Regn2!HR40,"")</f>
        <v>272.32333333333298</v>
      </c>
      <c r="FY40" s="15" t="s">
        <v>531</v>
      </c>
      <c r="GA40" s="17"/>
      <c r="GB40" s="15" t="s">
        <v>531</v>
      </c>
      <c r="GD40" s="15">
        <f>IF(Regn2!$R40&gt;1,RetentionNbal,"")</f>
        <v>65</v>
      </c>
      <c r="GE40" s="15" t="s">
        <v>205</v>
      </c>
      <c r="GF40" s="17"/>
      <c r="GG40" s="15" t="s">
        <v>205</v>
      </c>
      <c r="GI40" s="15" t="str">
        <f>IF(Regn2!$R40&lt;=1,"",VLOOKUP(Regn2!$R40,Afgr,2))</f>
        <v>Permanent græs</v>
      </c>
      <c r="GK40" s="25">
        <f>IF(Regn2!$R40&gt;1,Regn2!IO40,"")</f>
        <v>0</v>
      </c>
      <c r="GL40" s="15" t="s">
        <v>188</v>
      </c>
      <c r="GN40" s="16"/>
      <c r="GO40" s="15" t="s">
        <v>188</v>
      </c>
      <c r="GQ40" s="25">
        <f>IF(Regn2!$R40&gt;1,Regn2!JK40,"")</f>
        <v>692.69999999999993</v>
      </c>
      <c r="GR40" s="15" t="s">
        <v>188</v>
      </c>
      <c r="GT40" s="16"/>
      <c r="GU40" s="15" t="s">
        <v>188</v>
      </c>
      <c r="GW40" s="25">
        <f>IF(Regn2!$R40&gt;1,Regn2!JO40,"")</f>
        <v>0</v>
      </c>
      <c r="GX40" s="15" t="s">
        <v>188</v>
      </c>
      <c r="GZ40" s="16"/>
      <c r="HA40" s="15" t="s">
        <v>188</v>
      </c>
      <c r="HC40" s="25">
        <f>IF(Regn2!$R40&gt;1,Regn2!JS40,"")</f>
        <v>0</v>
      </c>
      <c r="HD40" s="15" t="s">
        <v>188</v>
      </c>
      <c r="HF40" s="16"/>
      <c r="HG40" s="15" t="s">
        <v>188</v>
      </c>
      <c r="HI40" s="25">
        <f>IF(Regn2!$R40&gt;1,Regn2!JY40,"")</f>
        <v>0</v>
      </c>
      <c r="HJ40" s="15" t="s">
        <v>362</v>
      </c>
      <c r="HL40" s="16"/>
      <c r="HM40" s="15" t="s">
        <v>188</v>
      </c>
      <c r="HO40" s="25">
        <f>IF(Regn2!$R40&gt;1,Regn2!KL40,"")</f>
        <v>0</v>
      </c>
      <c r="HP40" s="15" t="s">
        <v>188</v>
      </c>
      <c r="HR40" s="16"/>
      <c r="HS40" s="15" t="s">
        <v>188</v>
      </c>
      <c r="HU40" s="25">
        <f>IF(Regn2!$R40&gt;1,Regn2!KP40,"")</f>
        <v>280</v>
      </c>
      <c r="HV40" s="15" t="s">
        <v>188</v>
      </c>
      <c r="HX40" s="16"/>
      <c r="HY40" s="15" t="s">
        <v>188</v>
      </c>
      <c r="IA40" s="25">
        <f>IF(Regn2!$R40&gt;1,Regn2!KT40,"")</f>
        <v>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0</v>
      </c>
      <c r="IT40" s="15" t="s">
        <v>188</v>
      </c>
      <c r="IV40" s="16"/>
      <c r="IW40" s="15" t="s">
        <v>405</v>
      </c>
      <c r="IY40" s="25">
        <f>IF(Regn2!$R40&gt;1,Regn2!LM40,"")</f>
        <v>0</v>
      </c>
      <c r="IZ40" s="15" t="s">
        <v>188</v>
      </c>
      <c r="JB40" s="16"/>
      <c r="JC40" s="15" t="s">
        <v>188</v>
      </c>
      <c r="JH40" s="25">
        <f>IF(Regn2!$R40&gt;1,Regn2!LQ40,"")</f>
        <v>0</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2.38</v>
      </c>
      <c r="AH42" s="15" t="s">
        <v>85</v>
      </c>
      <c r="AL42" s="15" t="str">
        <f>IF(Regn2!$R42&lt;=1,"",VLOOKUP(Regn2!$R42,Afgr,2))</f>
        <v>Permanent græs</v>
      </c>
      <c r="AN42" s="32">
        <f>IF(Regn2!$R42&gt;1,Regn2!AE42,"")</f>
        <v>134</v>
      </c>
      <c r="AO42" s="15" t="s">
        <v>82</v>
      </c>
      <c r="AQ42" s="17"/>
      <c r="AR42" s="15" t="s">
        <v>82</v>
      </c>
      <c r="AT42" s="37">
        <v>52</v>
      </c>
      <c r="AU42" s="15" t="s">
        <v>82</v>
      </c>
      <c r="AX42" s="17"/>
      <c r="AY42" s="15" t="s">
        <v>82</v>
      </c>
      <c r="BA42" s="17">
        <v>7</v>
      </c>
      <c r="BB42" s="15" t="s">
        <v>1504</v>
      </c>
      <c r="BD42" s="17">
        <v>24</v>
      </c>
      <c r="BE42" s="15" t="s">
        <v>1793</v>
      </c>
      <c r="BH42" s="17"/>
      <c r="BI42" s="15" t="s">
        <v>82</v>
      </c>
      <c r="BJ42" s="37">
        <v>75</v>
      </c>
      <c r="BK42" s="15" t="s">
        <v>205</v>
      </c>
      <c r="BM42" s="37"/>
      <c r="BN42" s="15" t="s">
        <v>82</v>
      </c>
      <c r="BP42" s="37">
        <v>73.5</v>
      </c>
      <c r="BQ42" s="15" t="s">
        <v>205</v>
      </c>
      <c r="BT42" s="17"/>
      <c r="BU42" s="15" t="s">
        <v>82</v>
      </c>
      <c r="BW42" s="17"/>
      <c r="BX42" s="15" t="s">
        <v>82</v>
      </c>
      <c r="BY42" s="37">
        <v>75</v>
      </c>
      <c r="BZ42" s="15" t="s">
        <v>205</v>
      </c>
      <c r="CB42" s="17"/>
      <c r="CC42" s="15" t="s">
        <v>1504</v>
      </c>
      <c r="CE42" s="17"/>
      <c r="CF42" s="15" t="s">
        <v>1793</v>
      </c>
      <c r="CH42" s="55">
        <f>IF(Regn2!$R42&gt;1,Regn2!AL42,"")</f>
        <v>3000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v>
      </c>
      <c r="GK42" s="25">
        <f>IF(Regn2!$R42&gt;1,Regn2!IO42,"")</f>
        <v>0</v>
      </c>
      <c r="GL42" s="15" t="s">
        <v>188</v>
      </c>
      <c r="GN42" s="16"/>
      <c r="GO42" s="15" t="s">
        <v>188</v>
      </c>
      <c r="GQ42" s="25">
        <f>IF(Regn2!$R42&gt;1,Regn2!JK42,"")</f>
        <v>692.69999999999993</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280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1.1100000000000001</v>
      </c>
      <c r="AH44" s="15" t="s">
        <v>85</v>
      </c>
      <c r="AL44" s="15" t="str">
        <f>IF(Regn2!$R44&lt;=1,"",VLOOKUP(Regn2!$R44,Afgr,2))</f>
        <v>Permanent græs</v>
      </c>
      <c r="AN44" s="32">
        <f>IF(Regn2!$R44&gt;1,Regn2!AE44,"")</f>
        <v>134</v>
      </c>
      <c r="AO44" s="15" t="s">
        <v>82</v>
      </c>
      <c r="AQ44" s="17"/>
      <c r="AR44" s="15" t="s">
        <v>82</v>
      </c>
      <c r="AT44" s="37">
        <v>52</v>
      </c>
      <c r="AU44" s="15" t="s">
        <v>82</v>
      </c>
      <c r="AX44" s="17"/>
      <c r="AY44" s="15" t="s">
        <v>82</v>
      </c>
      <c r="BA44" s="17">
        <v>7</v>
      </c>
      <c r="BB44" s="15" t="s">
        <v>1504</v>
      </c>
      <c r="BD44" s="17">
        <v>24</v>
      </c>
      <c r="BE44" s="15" t="s">
        <v>1793</v>
      </c>
      <c r="BH44" s="17"/>
      <c r="BI44" s="15" t="s">
        <v>82</v>
      </c>
      <c r="BJ44" s="37">
        <v>75</v>
      </c>
      <c r="BK44" s="15" t="s">
        <v>205</v>
      </c>
      <c r="BM44" s="37"/>
      <c r="BN44" s="15" t="s">
        <v>82</v>
      </c>
      <c r="BP44" s="37">
        <v>73.5</v>
      </c>
      <c r="BQ44" s="15" t="s">
        <v>205</v>
      </c>
      <c r="BT44" s="17"/>
      <c r="BU44" s="15" t="s">
        <v>82</v>
      </c>
      <c r="BW44" s="17"/>
      <c r="BX44" s="15" t="s">
        <v>82</v>
      </c>
      <c r="BY44" s="37">
        <v>75</v>
      </c>
      <c r="BZ44" s="15" t="s">
        <v>205</v>
      </c>
      <c r="CB44" s="17"/>
      <c r="CC44" s="15" t="s">
        <v>1504</v>
      </c>
      <c r="CE44" s="17"/>
      <c r="CF44" s="15" t="s">
        <v>1793</v>
      </c>
      <c r="CH44" s="55">
        <f>IF(Regn2!$R44&gt;1,Regn2!AL44,"")</f>
        <v>3000</v>
      </c>
      <c r="CI44" s="15" t="str">
        <f>IF(Regn2!AO44&lt;&gt;0,Regn2!AO44,"")</f>
        <v>FE</v>
      </c>
      <c r="CK44" s="16"/>
      <c r="CL44" s="15" t="str">
        <f>IF(Regn2!AO44&lt;&gt;0,Regn2!AO44,"")</f>
        <v>FE</v>
      </c>
      <c r="CN44" s="33">
        <f>IF(Regn2!$R44&gt;1,Regn2!DK44,"")</f>
        <v>14</v>
      </c>
      <c r="CO44" s="15" t="s">
        <v>201</v>
      </c>
      <c r="CQ44" s="38"/>
      <c r="CR44" s="15" t="s">
        <v>201</v>
      </c>
      <c r="CT44" s="55">
        <f>IF(Regn2!$R44&gt;1,Regn2!AR44,"")</f>
        <v>1.2</v>
      </c>
      <c r="CU44" s="15" t="s">
        <v>188</v>
      </c>
      <c r="CW44" s="124"/>
      <c r="CX44" s="15" t="s">
        <v>188</v>
      </c>
      <c r="CZ44" s="25">
        <f>IF(Regn2!$R44&gt;1,Regn2!AW44,"")</f>
        <v>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Permanent græs</v>
      </c>
      <c r="GK44" s="25">
        <f>IF(Regn2!$R44&gt;1,Regn2!IO44,"")</f>
        <v>0</v>
      </c>
      <c r="GL44" s="15" t="s">
        <v>188</v>
      </c>
      <c r="GN44" s="16"/>
      <c r="GO44" s="15" t="s">
        <v>188</v>
      </c>
      <c r="GQ44" s="25">
        <f>IF(Regn2!$R44&gt;1,Regn2!JK44,"")</f>
        <v>692.69999999999993</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280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t="s">
        <v>2361</v>
      </c>
      <c r="AG46" s="36">
        <v>3.21</v>
      </c>
      <c r="AH46" s="15" t="s">
        <v>85</v>
      </c>
      <c r="AL46" s="15" t="str">
        <f>IF(Regn2!$R46&lt;=1,"",VLOOKUP(Regn2!$R46,Afgr,2))</f>
        <v>Vårbyg, foder</v>
      </c>
      <c r="AN46" s="32">
        <f>IF(Regn2!$R46&gt;1,Regn2!AE46,"")</f>
        <v>103</v>
      </c>
      <c r="AO46" s="15" t="s">
        <v>82</v>
      </c>
      <c r="AQ46" s="17"/>
      <c r="AR46" s="15" t="s">
        <v>82</v>
      </c>
      <c r="AT46" s="37">
        <v>27</v>
      </c>
      <c r="AU46" s="15" t="s">
        <v>82</v>
      </c>
      <c r="AX46" s="17"/>
      <c r="AY46" s="15" t="s">
        <v>82</v>
      </c>
      <c r="BA46" s="17"/>
      <c r="BB46" s="15" t="s">
        <v>1504</v>
      </c>
      <c r="BD46" s="17"/>
      <c r="BE46" s="15" t="s">
        <v>1793</v>
      </c>
      <c r="BH46" s="17"/>
      <c r="BI46" s="15" t="s">
        <v>82</v>
      </c>
      <c r="BJ46" s="37">
        <v>75</v>
      </c>
      <c r="BK46" s="15" t="s">
        <v>205</v>
      </c>
      <c r="BM46" s="37">
        <v>87</v>
      </c>
      <c r="BN46" s="15" t="s">
        <v>82</v>
      </c>
      <c r="BP46" s="37">
        <v>73.5</v>
      </c>
      <c r="BQ46" s="15" t="s">
        <v>205</v>
      </c>
      <c r="BT46" s="17"/>
      <c r="BU46" s="15" t="s">
        <v>82</v>
      </c>
      <c r="BW46" s="17"/>
      <c r="BX46" s="15" t="s">
        <v>82</v>
      </c>
      <c r="BY46" s="37">
        <v>75</v>
      </c>
      <c r="BZ46" s="15" t="s">
        <v>205</v>
      </c>
      <c r="CB46" s="17">
        <v>17</v>
      </c>
      <c r="CC46" s="15" t="s">
        <v>1504</v>
      </c>
      <c r="CE46" s="17">
        <v>47</v>
      </c>
      <c r="CF46" s="15" t="s">
        <v>1793</v>
      </c>
      <c r="CH46" s="55">
        <f>IF(Regn2!$R46&gt;1,Regn2!AL46,"")</f>
        <v>44</v>
      </c>
      <c r="CI46" s="15" t="str">
        <f>IF(Regn2!AO46&lt;&gt;0,Regn2!AO46,"")</f>
        <v>hkg</v>
      </c>
      <c r="CK46" s="16"/>
      <c r="CL46" s="15" t="str">
        <f>IF(Regn2!AO46&lt;&gt;0,Regn2!AO46,"")</f>
        <v>hkg</v>
      </c>
      <c r="CN46" s="33">
        <f>IF(Regn2!$R46&gt;1,Regn2!DK46,"")</f>
        <v>9.6675000000000004</v>
      </c>
      <c r="CO46" s="15" t="s">
        <v>201</v>
      </c>
      <c r="CQ46" s="38"/>
      <c r="CR46" s="15" t="s">
        <v>201</v>
      </c>
      <c r="CT46" s="55">
        <f>IF(Regn2!$R46&gt;1,Regn2!AR46,"")</f>
        <v>145</v>
      </c>
      <c r="CU46" s="15" t="s">
        <v>188</v>
      </c>
      <c r="CW46" s="124"/>
      <c r="CX46" s="15" t="s">
        <v>188</v>
      </c>
      <c r="CZ46" s="25">
        <f>IF(Regn2!$R46&gt;1,Regn2!AW46,"")</f>
        <v>0</v>
      </c>
      <c r="DA46" s="15" t="s">
        <v>188</v>
      </c>
      <c r="DC46" s="17"/>
      <c r="DD46" s="15" t="s">
        <v>188</v>
      </c>
      <c r="DF46" s="25">
        <f>IF(Regn2!$R46&gt;1,Regn2!BB46,"")</f>
        <v>2500</v>
      </c>
      <c r="DG46" s="15" t="s">
        <v>192</v>
      </c>
      <c r="DI46" s="16"/>
      <c r="DJ46" s="15" t="s">
        <v>192</v>
      </c>
      <c r="DO46" s="33">
        <f>IF(Regn2!$R46&gt;1,Regn2!BI46,"")</f>
        <v>0.5</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f>IF(Regn2!$R46&gt;1,NniveauDelsaedsk1,"")</f>
        <v>194</v>
      </c>
      <c r="FM46" s="15" t="s">
        <v>82</v>
      </c>
      <c r="FO46" s="17"/>
      <c r="FP46" s="15" t="s">
        <v>82</v>
      </c>
      <c r="FR46" s="32">
        <f>IF(Regn2!$R46&gt;1,Regn2!HU46,"")</f>
        <v>269.74999999999898</v>
      </c>
      <c r="FS46" s="15" t="s">
        <v>531</v>
      </c>
      <c r="FU46" s="17"/>
      <c r="FV46" s="15" t="s">
        <v>531</v>
      </c>
      <c r="FX46" s="32">
        <f>IF(Regn2!$R46&gt;1,Regn2!HR46,"")</f>
        <v>304.76666666666603</v>
      </c>
      <c r="FY46" s="15" t="s">
        <v>531</v>
      </c>
      <c r="GA46" s="17"/>
      <c r="GB46" s="15" t="s">
        <v>531</v>
      </c>
      <c r="GD46" s="15">
        <f>IF(Regn2!$R46&gt;1,RetentionNbal,"")</f>
        <v>65</v>
      </c>
      <c r="GE46" s="15" t="s">
        <v>205</v>
      </c>
      <c r="GF46" s="17"/>
      <c r="GG46" s="15" t="s">
        <v>205</v>
      </c>
      <c r="GI46" s="15" t="str">
        <f>IF(Regn2!$R46&lt;=1,"",VLOOKUP(Regn2!$R46,Afgr,2))</f>
        <v>Vårbyg, foder</v>
      </c>
      <c r="GK46" s="25">
        <f>IF(Regn2!$R46&gt;1,Regn2!IO46,"")</f>
        <v>488</v>
      </c>
      <c r="GL46" s="15" t="s">
        <v>188</v>
      </c>
      <c r="GN46" s="16"/>
      <c r="GO46" s="15" t="s">
        <v>188</v>
      </c>
      <c r="GQ46" s="25">
        <f>IF(Regn2!$R46&gt;1,Regn2!JK46,"")</f>
        <v>228.14999999999998</v>
      </c>
      <c r="GR46" s="15" t="s">
        <v>188</v>
      </c>
      <c r="GT46" s="16"/>
      <c r="GU46" s="15" t="s">
        <v>188</v>
      </c>
      <c r="GW46" s="25">
        <f>IF(Regn2!$R46&gt;1,Regn2!JO46,"")</f>
        <v>283</v>
      </c>
      <c r="GX46" s="15" t="s">
        <v>188</v>
      </c>
      <c r="GZ46" s="16"/>
      <c r="HA46" s="15" t="s">
        <v>188</v>
      </c>
      <c r="HC46" s="25">
        <f>IF(Regn2!$R46&gt;1,Regn2!JS46,"")</f>
        <v>0</v>
      </c>
      <c r="HD46" s="15" t="s">
        <v>188</v>
      </c>
      <c r="HF46" s="16"/>
      <c r="HG46" s="15" t="s">
        <v>188</v>
      </c>
      <c r="HI46" s="25">
        <f>IF(Regn2!$R46&gt;1,Regn2!JY46,"")</f>
        <v>600</v>
      </c>
      <c r="HJ46" s="15" t="s">
        <v>362</v>
      </c>
      <c r="HL46" s="16"/>
      <c r="HM46" s="15" t="s">
        <v>188</v>
      </c>
      <c r="HO46" s="25">
        <f>IF(Regn2!$R46&gt;1,Regn2!KL46,"")</f>
        <v>350</v>
      </c>
      <c r="HP46" s="15" t="s">
        <v>188</v>
      </c>
      <c r="HR46" s="16"/>
      <c r="HS46" s="15" t="s">
        <v>188</v>
      </c>
      <c r="HU46" s="25">
        <f>IF(Regn2!$R46&gt;1,Regn2!KP46,"")</f>
        <v>140</v>
      </c>
      <c r="HV46" s="15" t="s">
        <v>188</v>
      </c>
      <c r="HX46" s="16"/>
      <c r="HY46" s="15" t="s">
        <v>188</v>
      </c>
      <c r="IA46" s="25">
        <f>IF(Regn2!$R46&gt;1,Regn2!KT46,"")</f>
        <v>300</v>
      </c>
      <c r="IB46" s="15" t="s">
        <v>188</v>
      </c>
      <c r="ID46" s="16"/>
      <c r="IE46" s="15" t="s">
        <v>188</v>
      </c>
      <c r="IG46" s="25">
        <f>IF(Regn2!$R46&gt;1,Regn2!KX46,"")</f>
        <v>0</v>
      </c>
      <c r="IH46" s="15" t="s">
        <v>531</v>
      </c>
      <c r="IJ46" s="16"/>
      <c r="IK46" s="15" t="s">
        <v>531</v>
      </c>
      <c r="IM46" s="25">
        <f>IF(Regn2!$R46&gt;1,Regn2!KZ46,"")</f>
        <v>0</v>
      </c>
      <c r="IN46" s="15" t="s">
        <v>188</v>
      </c>
      <c r="IP46" s="16"/>
      <c r="IQ46" s="15" t="s">
        <v>188</v>
      </c>
      <c r="IS46" s="25">
        <f>IF(Regn2!$R46&gt;1,Regn2!LG46,"")</f>
        <v>851.17647058823525</v>
      </c>
      <c r="IT46" s="15" t="s">
        <v>188</v>
      </c>
      <c r="IV46" s="16"/>
      <c r="IW46" s="15" t="s">
        <v>405</v>
      </c>
      <c r="IY46" s="25">
        <f>IF(Regn2!$R46&gt;1,Regn2!LM46,"")</f>
        <v>647.91666666666674</v>
      </c>
      <c r="IZ46" s="15" t="s">
        <v>188</v>
      </c>
      <c r="JB46" s="16"/>
      <c r="JC46" s="15" t="s">
        <v>188</v>
      </c>
      <c r="JH46" s="25">
        <f>IF(Regn2!$R46&gt;1,Regn2!LQ46,"")</f>
        <v>406.56000000000006</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t="s">
        <v>2362</v>
      </c>
      <c r="AG48" s="36">
        <v>1.7</v>
      </c>
      <c r="AH48" s="15" t="s">
        <v>85</v>
      </c>
      <c r="AL48" s="15" t="str">
        <f>IF(Regn2!$R48&lt;=1,"",VLOOKUP(Regn2!$R48,Afgr,2))</f>
        <v>Kløvergræs, 4 slæt</v>
      </c>
      <c r="AN48" s="32">
        <f>IF(Regn2!$R48&gt;1,Regn2!AE48,"")</f>
        <v>321</v>
      </c>
      <c r="AO48" s="15" t="s">
        <v>82</v>
      </c>
      <c r="AQ48" s="17"/>
      <c r="AR48" s="15" t="s">
        <v>82</v>
      </c>
      <c r="AT48" s="37">
        <v>206</v>
      </c>
      <c r="AU48" s="15" t="s">
        <v>82</v>
      </c>
      <c r="AX48" s="17"/>
      <c r="AY48" s="15" t="s">
        <v>82</v>
      </c>
      <c r="BA48" s="17">
        <v>27</v>
      </c>
      <c r="BB48" s="15" t="s">
        <v>1504</v>
      </c>
      <c r="BD48" s="17">
        <v>96</v>
      </c>
      <c r="BE48" s="15" t="s">
        <v>1793</v>
      </c>
      <c r="BH48" s="17"/>
      <c r="BI48" s="15" t="s">
        <v>82</v>
      </c>
      <c r="BJ48" s="37">
        <v>75</v>
      </c>
      <c r="BK48" s="15" t="s">
        <v>205</v>
      </c>
      <c r="BM48" s="37"/>
      <c r="BN48" s="15" t="s">
        <v>82</v>
      </c>
      <c r="BP48" s="37">
        <v>73.5</v>
      </c>
      <c r="BQ48" s="15" t="s">
        <v>205</v>
      </c>
      <c r="BT48" s="17"/>
      <c r="BU48" s="15" t="s">
        <v>82</v>
      </c>
      <c r="BW48" s="17"/>
      <c r="BX48" s="15" t="s">
        <v>82</v>
      </c>
      <c r="BY48" s="37">
        <v>75</v>
      </c>
      <c r="BZ48" s="15" t="s">
        <v>205</v>
      </c>
      <c r="CB48" s="17"/>
      <c r="CC48" s="15" t="s">
        <v>1504</v>
      </c>
      <c r="CE48" s="17"/>
      <c r="CF48" s="15" t="s">
        <v>1793</v>
      </c>
      <c r="CH48" s="55">
        <f>IF(Regn2!$R48&gt;1,Regn2!AL48,"")</f>
        <v>7100</v>
      </c>
      <c r="CI48" s="15" t="str">
        <f>IF(Regn2!AO48&lt;&gt;0,Regn2!AO48,"")</f>
        <v>FE</v>
      </c>
      <c r="CK48" s="16"/>
      <c r="CL48" s="15" t="str">
        <f>IF(Regn2!AO48&lt;&gt;0,Regn2!AO48,"")</f>
        <v>FE</v>
      </c>
      <c r="CN48" s="33">
        <f>IF(Regn2!$R48&gt;1,Regn2!DK48,"")</f>
        <v>16.3125</v>
      </c>
      <c r="CO48" s="15" t="s">
        <v>201</v>
      </c>
      <c r="CQ48" s="38"/>
      <c r="CR48" s="15" t="s">
        <v>201</v>
      </c>
      <c r="CT48" s="55">
        <f>IF(Regn2!$R48&gt;1,Regn2!AR48,"")</f>
        <v>1.2</v>
      </c>
      <c r="CU48" s="15" t="s">
        <v>188</v>
      </c>
      <c r="CW48" s="124"/>
      <c r="CX48" s="15" t="s">
        <v>188</v>
      </c>
      <c r="CZ48" s="25">
        <f>IF(Regn2!$R48&gt;1,Regn2!AW48,"")</f>
        <v>0</v>
      </c>
      <c r="DA48" s="15" t="s">
        <v>188</v>
      </c>
      <c r="DC48" s="17"/>
      <c r="DD48" s="15" t="s">
        <v>188</v>
      </c>
      <c r="DF48" s="25">
        <f>IF(Regn2!$R48&gt;1,Regn2!BB48,"")</f>
        <v>0</v>
      </c>
      <c r="DG48" s="15" t="s">
        <v>192</v>
      </c>
      <c r="DI48" s="16"/>
      <c r="DJ48" s="15" t="s">
        <v>192</v>
      </c>
      <c r="DO48" s="33">
        <f>IF(Regn2!$R48&gt;1,Regn2!BI48,"")</f>
        <v>0</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f>IF(Regn2!$R48&gt;1,NniveauDelsaedsk1,"")</f>
        <v>194</v>
      </c>
      <c r="FM48" s="15" t="s">
        <v>82</v>
      </c>
      <c r="FO48" s="17"/>
      <c r="FP48" s="15" t="s">
        <v>82</v>
      </c>
      <c r="FR48" s="32">
        <f>IF(Regn2!$R48&gt;1,Regn2!HU48,"")</f>
        <v>272.32333333333298</v>
      </c>
      <c r="FS48" s="15" t="s">
        <v>531</v>
      </c>
      <c r="FU48" s="17"/>
      <c r="FV48" s="15" t="s">
        <v>531</v>
      </c>
      <c r="FX48" s="32">
        <f>IF(Regn2!$R48&gt;1,Regn2!HR48,"")</f>
        <v>272.32333333333298</v>
      </c>
      <c r="FY48" s="15" t="s">
        <v>531</v>
      </c>
      <c r="GA48" s="17"/>
      <c r="GB48" s="15" t="s">
        <v>531</v>
      </c>
      <c r="GD48" s="15">
        <f>IF(Regn2!$R48&gt;1,RetentionNbal,"")</f>
        <v>65</v>
      </c>
      <c r="GE48" s="15" t="s">
        <v>205</v>
      </c>
      <c r="GF48" s="17"/>
      <c r="GG48" s="15" t="s">
        <v>205</v>
      </c>
      <c r="GI48" s="15" t="str">
        <f>IF(Regn2!$R48&lt;=1,"",VLOOKUP(Regn2!$R48,Afgr,2))</f>
        <v>Kløvergræs, 4 slæt</v>
      </c>
      <c r="GK48" s="25">
        <f>IF(Regn2!$R48&gt;1,Regn2!IO48,"")</f>
        <v>420</v>
      </c>
      <c r="GL48" s="15" t="s">
        <v>188</v>
      </c>
      <c r="GN48" s="16"/>
      <c r="GO48" s="15" t="s">
        <v>188</v>
      </c>
      <c r="GQ48" s="25">
        <f>IF(Regn2!$R48&gt;1,Regn2!JK48,"")</f>
        <v>2740</v>
      </c>
      <c r="GR48" s="15" t="s">
        <v>188</v>
      </c>
      <c r="GT48" s="16"/>
      <c r="GU48" s="15" t="s">
        <v>188</v>
      </c>
      <c r="GW48" s="25">
        <f>IF(Regn2!$R48&gt;1,Regn2!JO48,"")</f>
        <v>0</v>
      </c>
      <c r="GX48" s="15" t="s">
        <v>188</v>
      </c>
      <c r="GZ48" s="16"/>
      <c r="HA48" s="15" t="s">
        <v>188</v>
      </c>
      <c r="HC48" s="25">
        <f>IF(Regn2!$R48&gt;1,Regn2!JS48,"")</f>
        <v>369.2</v>
      </c>
      <c r="HD48" s="15" t="s">
        <v>188</v>
      </c>
      <c r="HF48" s="16"/>
      <c r="HG48" s="15" t="s">
        <v>188</v>
      </c>
      <c r="HI48" s="25">
        <f>IF(Regn2!$R48&gt;1,Regn2!JY48,"")</f>
        <v>0</v>
      </c>
      <c r="HJ48" s="15" t="s">
        <v>362</v>
      </c>
      <c r="HL48" s="16"/>
      <c r="HM48" s="15" t="s">
        <v>188</v>
      </c>
      <c r="HO48" s="25">
        <f>IF(Regn2!$R48&gt;1,Regn2!KL48,"")</f>
        <v>125</v>
      </c>
      <c r="HP48" s="15" t="s">
        <v>188</v>
      </c>
      <c r="HR48" s="16"/>
      <c r="HS48" s="15" t="s">
        <v>188</v>
      </c>
      <c r="HU48" s="25">
        <f>IF(Regn2!$R48&gt;1,Regn2!KP48,"")</f>
        <v>420</v>
      </c>
      <c r="HV48" s="15" t="s">
        <v>188</v>
      </c>
      <c r="HX48" s="16"/>
      <c r="HY48" s="15" t="s">
        <v>188</v>
      </c>
      <c r="IA48" s="25">
        <f>IF(Regn2!$R48&gt;1,Regn2!KT48,"")</f>
        <v>0</v>
      </c>
      <c r="IB48" s="15" t="s">
        <v>188</v>
      </c>
      <c r="ID48" s="16"/>
      <c r="IE48" s="15" t="s">
        <v>188</v>
      </c>
      <c r="IG48" s="25">
        <f>IF(Regn2!$R48&gt;1,Regn2!KX48,"")</f>
        <v>0</v>
      </c>
      <c r="IH48" s="15" t="s">
        <v>531</v>
      </c>
      <c r="IJ48" s="16"/>
      <c r="IK48" s="15" t="s">
        <v>531</v>
      </c>
      <c r="IM48" s="25">
        <f>IF(Regn2!$R48&gt;1,Regn2!KZ48,"")</f>
        <v>0</v>
      </c>
      <c r="IN48" s="15" t="s">
        <v>188</v>
      </c>
      <c r="IP48" s="16"/>
      <c r="IQ48" s="15" t="s">
        <v>188</v>
      </c>
      <c r="IS48" s="25">
        <f>IF(Regn2!$R48&gt;1,Regn2!LG48,"")</f>
        <v>3513.5</v>
      </c>
      <c r="IT48" s="15" t="s">
        <v>188</v>
      </c>
      <c r="IV48" s="16"/>
      <c r="IW48" s="15" t="s">
        <v>405</v>
      </c>
      <c r="IY48" s="25">
        <f>IF(Regn2!$R48&gt;1,Regn2!LM48,"")</f>
        <v>0</v>
      </c>
      <c r="IZ48" s="15" t="s">
        <v>188</v>
      </c>
      <c r="JB48" s="16"/>
      <c r="JC48" s="15" t="s">
        <v>188</v>
      </c>
      <c r="JH48" s="25">
        <f>IF(Regn2!$R48&gt;1,Regn2!LQ48,"")</f>
        <v>0</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t="s">
        <v>2363</v>
      </c>
      <c r="AG50" s="36">
        <v>0.4</v>
      </c>
      <c r="AH50" s="15" t="s">
        <v>85</v>
      </c>
      <c r="AL50" s="15" t="str">
        <f>IF(Regn2!$R50&lt;=1,"",VLOOKUP(Regn2!$R50,Afgr,2))</f>
        <v>Permanent græs (0N)</v>
      </c>
      <c r="AN50" s="32">
        <f>IF(Regn2!$R50&gt;1,Regn2!AE50,"")</f>
        <v>0</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73.5</v>
      </c>
      <c r="BQ50" s="15" t="s">
        <v>205</v>
      </c>
      <c r="BT50" s="17"/>
      <c r="BU50" s="15" t="s">
        <v>82</v>
      </c>
      <c r="BW50" s="17"/>
      <c r="BX50" s="15" t="s">
        <v>82</v>
      </c>
      <c r="BY50" s="37">
        <v>75</v>
      </c>
      <c r="BZ50" s="15" t="s">
        <v>205</v>
      </c>
      <c r="CB50" s="17"/>
      <c r="CC50" s="15" t="s">
        <v>1504</v>
      </c>
      <c r="CE50" s="17"/>
      <c r="CF50" s="15" t="s">
        <v>1793</v>
      </c>
      <c r="CH50" s="55">
        <f>IF(Regn2!$R50&gt;1,Regn2!AL50,"")</f>
        <v>0</v>
      </c>
      <c r="CI50" s="15" t="str">
        <f>IF(Regn2!AO50&lt;&gt;0,Regn2!AO50,"")</f>
        <v>FE</v>
      </c>
      <c r="CK50" s="16"/>
      <c r="CL50" s="15" t="str">
        <f>IF(Regn2!AO50&lt;&gt;0,Regn2!AO50,"")</f>
        <v>FE</v>
      </c>
      <c r="CN50" s="33">
        <f>IF(Regn2!$R50&gt;1,Regn2!DK50,"")</f>
        <v>14</v>
      </c>
      <c r="CO50" s="15" t="s">
        <v>201</v>
      </c>
      <c r="CQ50" s="38"/>
      <c r="CR50" s="15" t="s">
        <v>201</v>
      </c>
      <c r="CT50" s="55">
        <f>IF(Regn2!$R50&gt;1,Regn2!AR50,"")</f>
        <v>1.2</v>
      </c>
      <c r="CU50" s="15" t="s">
        <v>188</v>
      </c>
      <c r="CW50" s="124"/>
      <c r="CX50" s="15" t="s">
        <v>188</v>
      </c>
      <c r="CZ50" s="25">
        <f>IF(Regn2!$R50&gt;1,Regn2!AW50,"")</f>
        <v>0</v>
      </c>
      <c r="DA50" s="15" t="s">
        <v>188</v>
      </c>
      <c r="DC50" s="17"/>
      <c r="DD50" s="15" t="s">
        <v>188</v>
      </c>
      <c r="DF50" s="25">
        <f>IF(Regn2!$R50&gt;1,Regn2!BB50,"")</f>
        <v>0</v>
      </c>
      <c r="DG50" s="15" t="s">
        <v>192</v>
      </c>
      <c r="DI50" s="16"/>
      <c r="DJ50" s="15" t="s">
        <v>192</v>
      </c>
      <c r="DO50" s="33">
        <f>IF(Regn2!$R50&gt;1,Regn2!BI50,"")</f>
        <v>0</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f>IF(Regn2!$R50&gt;1,NniveauDelsaedsk1,"")</f>
        <v>194</v>
      </c>
      <c r="FM50" s="15" t="s">
        <v>82</v>
      </c>
      <c r="FO50" s="17"/>
      <c r="FP50" s="15" t="s">
        <v>82</v>
      </c>
      <c r="FR50" s="32">
        <f>IF(Regn2!$R50&gt;1,Regn2!HU50,"")</f>
        <v>272.32333333333298</v>
      </c>
      <c r="FS50" s="15" t="s">
        <v>531</v>
      </c>
      <c r="FU50" s="17"/>
      <c r="FV50" s="15" t="s">
        <v>531</v>
      </c>
      <c r="FX50" s="32">
        <f>IF(Regn2!$R50&gt;1,Regn2!HR50,"")</f>
        <v>272.32333333333298</v>
      </c>
      <c r="FY50" s="15" t="s">
        <v>531</v>
      </c>
      <c r="GA50" s="17"/>
      <c r="GB50" s="15" t="s">
        <v>531</v>
      </c>
      <c r="GD50" s="15">
        <f>IF(Regn2!$R50&gt;1,RetentionNbal,"")</f>
        <v>65</v>
      </c>
      <c r="GE50" s="15" t="s">
        <v>205</v>
      </c>
      <c r="GF50" s="17"/>
      <c r="GG50" s="15" t="s">
        <v>205</v>
      </c>
      <c r="GI50" s="15" t="str">
        <f>IF(Regn2!$R50&lt;=1,"",VLOOKUP(Regn2!$R50,Afgr,2))</f>
        <v>Permanent græs (0N)</v>
      </c>
      <c r="GK50" s="25">
        <f>IF(Regn2!$R50&gt;1,Regn2!IO50,"")</f>
        <v>0</v>
      </c>
      <c r="GL50" s="15" t="s">
        <v>188</v>
      </c>
      <c r="GN50" s="16"/>
      <c r="GO50" s="15" t="s">
        <v>188</v>
      </c>
      <c r="GQ50" s="25">
        <f>IF(Regn2!$R50&gt;1,Regn2!JK50,"")</f>
        <v>0</v>
      </c>
      <c r="GR50" s="15" t="s">
        <v>188</v>
      </c>
      <c r="GT50" s="16"/>
      <c r="GU50" s="15" t="s">
        <v>188</v>
      </c>
      <c r="GW50" s="25">
        <f>IF(Regn2!$R50&gt;1,Regn2!JO50,"")</f>
        <v>0</v>
      </c>
      <c r="GX50" s="15" t="s">
        <v>188</v>
      </c>
      <c r="GZ50" s="16"/>
      <c r="HA50" s="15" t="s">
        <v>188</v>
      </c>
      <c r="HC50" s="25">
        <f>IF(Regn2!$R50&gt;1,Regn2!JS50,"")</f>
        <v>0</v>
      </c>
      <c r="HD50" s="15" t="s">
        <v>188</v>
      </c>
      <c r="HF50" s="16"/>
      <c r="HG50" s="15" t="s">
        <v>188</v>
      </c>
      <c r="HI50" s="25">
        <f>IF(Regn2!$R50&gt;1,Regn2!JY50,"")</f>
        <v>0</v>
      </c>
      <c r="HJ50" s="15" t="s">
        <v>362</v>
      </c>
      <c r="HL50" s="16"/>
      <c r="HM50" s="15" t="s">
        <v>188</v>
      </c>
      <c r="HO50" s="25">
        <f>IF(Regn2!$R50&gt;1,Regn2!KL50,"")</f>
        <v>0</v>
      </c>
      <c r="HP50" s="15" t="s">
        <v>188</v>
      </c>
      <c r="HR50" s="16"/>
      <c r="HS50" s="15" t="s">
        <v>188</v>
      </c>
      <c r="HU50" s="25">
        <f>IF(Regn2!$R50&gt;1,Regn2!KP50,"")</f>
        <v>0</v>
      </c>
      <c r="HV50" s="15" t="s">
        <v>188</v>
      </c>
      <c r="HX50" s="16"/>
      <c r="HY50" s="15" t="s">
        <v>188</v>
      </c>
      <c r="IA50" s="25">
        <f>IF(Regn2!$R50&gt;1,Regn2!KT50,"")</f>
        <v>0</v>
      </c>
      <c r="IB50" s="15" t="s">
        <v>188</v>
      </c>
      <c r="ID50" s="16"/>
      <c r="IE50" s="15" t="s">
        <v>188</v>
      </c>
      <c r="IG50" s="25">
        <f>IF(Regn2!$R50&gt;1,Regn2!KX50,"")</f>
        <v>0</v>
      </c>
      <c r="IH50" s="15" t="s">
        <v>531</v>
      </c>
      <c r="IJ50" s="16"/>
      <c r="IK50" s="15" t="s">
        <v>531</v>
      </c>
      <c r="IM50" s="25">
        <f>IF(Regn2!$R50&gt;1,Regn2!KZ50,"")</f>
        <v>0</v>
      </c>
      <c r="IN50" s="15" t="s">
        <v>188</v>
      </c>
      <c r="IP50" s="16"/>
      <c r="IQ50" s="15" t="s">
        <v>188</v>
      </c>
      <c r="IS50" s="25">
        <f>IF(Regn2!$R50&gt;1,Regn2!LG50,"")</f>
        <v>0</v>
      </c>
      <c r="IT50" s="15" t="s">
        <v>188</v>
      </c>
      <c r="IV50" s="16"/>
      <c r="IW50" s="15" t="s">
        <v>405</v>
      </c>
      <c r="IY50" s="25">
        <f>IF(Regn2!$R50&gt;1,Regn2!LM50,"")</f>
        <v>0</v>
      </c>
      <c r="IZ50" s="15" t="s">
        <v>188</v>
      </c>
      <c r="JB50" s="16"/>
      <c r="JC50" s="15" t="s">
        <v>188</v>
      </c>
      <c r="JH50" s="25">
        <f>IF(Regn2!$R50&gt;1,Regn2!LQ50,"")</f>
        <v>0</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t="s">
        <v>2364</v>
      </c>
      <c r="AG52" s="36">
        <v>3.13</v>
      </c>
      <c r="AH52" s="15" t="s">
        <v>85</v>
      </c>
      <c r="AL52" s="15" t="str">
        <f>IF(Regn2!$R52&lt;=1,"",VLOOKUP(Regn2!$R52,Afgr,2))</f>
        <v>Vårbyg, foder</v>
      </c>
      <c r="AN52" s="32">
        <f>IF(Regn2!$R52&gt;1,Regn2!AE52,"")</f>
        <v>86</v>
      </c>
      <c r="AO52" s="15" t="s">
        <v>82</v>
      </c>
      <c r="AQ52" s="17"/>
      <c r="AR52" s="15" t="s">
        <v>82</v>
      </c>
      <c r="AT52" s="37">
        <v>27</v>
      </c>
      <c r="AU52" s="15" t="s">
        <v>82</v>
      </c>
      <c r="AX52" s="17"/>
      <c r="AY52" s="15" t="s">
        <v>82</v>
      </c>
      <c r="BA52" s="17"/>
      <c r="BB52" s="15" t="s">
        <v>1504</v>
      </c>
      <c r="BD52" s="17"/>
      <c r="BE52" s="15" t="s">
        <v>1793</v>
      </c>
      <c r="BH52" s="17"/>
      <c r="BI52" s="15" t="s">
        <v>82</v>
      </c>
      <c r="BJ52" s="37">
        <v>75</v>
      </c>
      <c r="BK52" s="15" t="s">
        <v>205</v>
      </c>
      <c r="BM52" s="37">
        <v>87</v>
      </c>
      <c r="BN52" s="15" t="s">
        <v>82</v>
      </c>
      <c r="BP52" s="37">
        <v>73.5</v>
      </c>
      <c r="BQ52" s="15" t="s">
        <v>205</v>
      </c>
      <c r="BT52" s="17"/>
      <c r="BU52" s="15" t="s">
        <v>82</v>
      </c>
      <c r="BW52" s="17"/>
      <c r="BX52" s="15" t="s">
        <v>82</v>
      </c>
      <c r="BY52" s="37">
        <v>75</v>
      </c>
      <c r="BZ52" s="15" t="s">
        <v>205</v>
      </c>
      <c r="CB52" s="17">
        <v>17</v>
      </c>
      <c r="CC52" s="15" t="s">
        <v>1504</v>
      </c>
      <c r="CE52" s="17">
        <v>47</v>
      </c>
      <c r="CF52" s="15" t="s">
        <v>1793</v>
      </c>
      <c r="CH52" s="55">
        <f>IF(Regn2!$R52&gt;1,Regn2!AL52,"")</f>
        <v>44</v>
      </c>
      <c r="CI52" s="15" t="str">
        <f>IF(Regn2!AO52&lt;&gt;0,Regn2!AO52,"")</f>
        <v>hkg</v>
      </c>
      <c r="CK52" s="16"/>
      <c r="CL52" s="15" t="str">
        <f>IF(Regn2!AO52&lt;&gt;0,Regn2!AO52,"")</f>
        <v>hkg</v>
      </c>
      <c r="CN52" s="33">
        <f>IF(Regn2!$R52&gt;1,Regn2!DK52,"")</f>
        <v>10.0075</v>
      </c>
      <c r="CO52" s="15" t="s">
        <v>201</v>
      </c>
      <c r="CQ52" s="38"/>
      <c r="CR52" s="15" t="s">
        <v>201</v>
      </c>
      <c r="CT52" s="55">
        <f>IF(Regn2!$R52&gt;1,Regn2!AR52,"")</f>
        <v>145</v>
      </c>
      <c r="CU52" s="15" t="s">
        <v>188</v>
      </c>
      <c r="CW52" s="124"/>
      <c r="CX52" s="15" t="s">
        <v>188</v>
      </c>
      <c r="CZ52" s="25">
        <f>IF(Regn2!$R52&gt;1,Regn2!AW52,"")</f>
        <v>0</v>
      </c>
      <c r="DA52" s="15" t="s">
        <v>188</v>
      </c>
      <c r="DC52" s="17"/>
      <c r="DD52" s="15" t="s">
        <v>188</v>
      </c>
      <c r="DF52" s="25">
        <f>IF(Regn2!$R52&gt;1,Regn2!BB52,"")</f>
        <v>2500</v>
      </c>
      <c r="DG52" s="15" t="s">
        <v>192</v>
      </c>
      <c r="DI52" s="16"/>
      <c r="DJ52" s="15" t="s">
        <v>192</v>
      </c>
      <c r="DO52" s="33">
        <f>IF(Regn2!$R52&gt;1,Regn2!BI52,"")</f>
        <v>0.5</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f>IF(Regn2!$R52&gt;1,NniveauDelsaedsk1,"")</f>
        <v>194</v>
      </c>
      <c r="FM52" s="15" t="s">
        <v>82</v>
      </c>
      <c r="FO52" s="17"/>
      <c r="FP52" s="15" t="s">
        <v>82</v>
      </c>
      <c r="FR52" s="32">
        <f>IF(Regn2!$R52&gt;1,Regn2!HU52,"")</f>
        <v>249.74999999999898</v>
      </c>
      <c r="FS52" s="15" t="s">
        <v>531</v>
      </c>
      <c r="FU52" s="17"/>
      <c r="FV52" s="15" t="s">
        <v>531</v>
      </c>
      <c r="FX52" s="32">
        <f>IF(Regn2!$R52&gt;1,Regn2!HR52,"")</f>
        <v>304.76666666666603</v>
      </c>
      <c r="FY52" s="15" t="s">
        <v>531</v>
      </c>
      <c r="GA52" s="17"/>
      <c r="GB52" s="15" t="s">
        <v>531</v>
      </c>
      <c r="GD52" s="15">
        <f>IF(Regn2!$R52&gt;1,RetentionNbal,"")</f>
        <v>65</v>
      </c>
      <c r="GE52" s="15" t="s">
        <v>205</v>
      </c>
      <c r="GF52" s="17"/>
      <c r="GG52" s="15" t="s">
        <v>205</v>
      </c>
      <c r="GI52" s="15" t="str">
        <f>IF(Regn2!$R52&lt;=1,"",VLOOKUP(Regn2!$R52,Afgr,2))</f>
        <v>Vårbyg, foder</v>
      </c>
      <c r="GK52" s="25">
        <f>IF(Regn2!$R52&gt;1,Regn2!IO52,"")</f>
        <v>488</v>
      </c>
      <c r="GL52" s="15" t="s">
        <v>188</v>
      </c>
      <c r="GN52" s="16"/>
      <c r="GO52" s="15" t="s">
        <v>188</v>
      </c>
      <c r="GQ52" s="25">
        <f>IF(Regn2!$R52&gt;1,Regn2!JK52,"")</f>
        <v>228.14999999999998</v>
      </c>
      <c r="GR52" s="15" t="s">
        <v>188</v>
      </c>
      <c r="GT52" s="16"/>
      <c r="GU52" s="15" t="s">
        <v>188</v>
      </c>
      <c r="GW52" s="25">
        <f>IF(Regn2!$R52&gt;1,Regn2!JO52,"")</f>
        <v>283</v>
      </c>
      <c r="GX52" s="15" t="s">
        <v>188</v>
      </c>
      <c r="GZ52" s="16"/>
      <c r="HA52" s="15" t="s">
        <v>188</v>
      </c>
      <c r="HC52" s="25">
        <f>IF(Regn2!$R52&gt;1,Regn2!JS52,"")</f>
        <v>0</v>
      </c>
      <c r="HD52" s="15" t="s">
        <v>188</v>
      </c>
      <c r="HF52" s="16"/>
      <c r="HG52" s="15" t="s">
        <v>188</v>
      </c>
      <c r="HI52" s="25">
        <f>IF(Regn2!$R52&gt;1,Regn2!JY52,"")</f>
        <v>600</v>
      </c>
      <c r="HJ52" s="15" t="s">
        <v>362</v>
      </c>
      <c r="HL52" s="16"/>
      <c r="HM52" s="15" t="s">
        <v>188</v>
      </c>
      <c r="HO52" s="25">
        <f>IF(Regn2!$R52&gt;1,Regn2!KL52,"")</f>
        <v>350</v>
      </c>
      <c r="HP52" s="15" t="s">
        <v>188</v>
      </c>
      <c r="HR52" s="16"/>
      <c r="HS52" s="15" t="s">
        <v>188</v>
      </c>
      <c r="HU52" s="25">
        <f>IF(Regn2!$R52&gt;1,Regn2!KP52,"")</f>
        <v>140</v>
      </c>
      <c r="HV52" s="15" t="s">
        <v>188</v>
      </c>
      <c r="HX52" s="16"/>
      <c r="HY52" s="15" t="s">
        <v>188</v>
      </c>
      <c r="IA52" s="25">
        <f>IF(Regn2!$R52&gt;1,Regn2!KT52,"")</f>
        <v>300</v>
      </c>
      <c r="IB52" s="15" t="s">
        <v>188</v>
      </c>
      <c r="ID52" s="16"/>
      <c r="IE52" s="15" t="s">
        <v>188</v>
      </c>
      <c r="IG52" s="25">
        <f>IF(Regn2!$R52&gt;1,Regn2!KX52,"")</f>
        <v>0</v>
      </c>
      <c r="IH52" s="15" t="s">
        <v>531</v>
      </c>
      <c r="IJ52" s="16"/>
      <c r="IK52" s="15" t="s">
        <v>531</v>
      </c>
      <c r="IM52" s="25">
        <f>IF(Regn2!$R52&gt;1,Regn2!KZ52,"")</f>
        <v>0</v>
      </c>
      <c r="IN52" s="15" t="s">
        <v>188</v>
      </c>
      <c r="IP52" s="16"/>
      <c r="IQ52" s="15" t="s">
        <v>188</v>
      </c>
      <c r="IS52" s="25">
        <f>IF(Regn2!$R52&gt;1,Regn2!LG52,"")</f>
        <v>851.17647058823525</v>
      </c>
      <c r="IT52" s="15" t="s">
        <v>188</v>
      </c>
      <c r="IV52" s="16"/>
      <c r="IW52" s="15" t="s">
        <v>405</v>
      </c>
      <c r="IY52" s="25">
        <f>IF(Regn2!$R52&gt;1,Regn2!LM52,"")</f>
        <v>647.91666666666674</v>
      </c>
      <c r="IZ52" s="15" t="s">
        <v>188</v>
      </c>
      <c r="JB52" s="16"/>
      <c r="JC52" s="15" t="s">
        <v>188</v>
      </c>
      <c r="JH52" s="25">
        <f>IF(Regn2!$R52&gt;1,Regn2!LQ52,"")</f>
        <v>406.56000000000006</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t="s">
        <v>2365</v>
      </c>
      <c r="AG54" s="36">
        <v>1.48</v>
      </c>
      <c r="AH54" s="15" t="s">
        <v>85</v>
      </c>
      <c r="AL54" s="15" t="str">
        <f>IF(Regn2!$R54&lt;=1,"",VLOOKUP(Regn2!$R54,Afgr,2))</f>
        <v>Permanent græs</v>
      </c>
      <c r="AN54" s="32">
        <f>IF(Regn2!$R54&gt;1,Regn2!AE54,"")</f>
        <v>134</v>
      </c>
      <c r="AO54" s="15" t="s">
        <v>82</v>
      </c>
      <c r="AQ54" s="17"/>
      <c r="AR54" s="15" t="s">
        <v>82</v>
      </c>
      <c r="AT54" s="37">
        <v>52</v>
      </c>
      <c r="AU54" s="15" t="s">
        <v>82</v>
      </c>
      <c r="AX54" s="17"/>
      <c r="AY54" s="15" t="s">
        <v>82</v>
      </c>
      <c r="BA54" s="17">
        <v>7</v>
      </c>
      <c r="BB54" s="15" t="s">
        <v>1504</v>
      </c>
      <c r="BD54" s="17">
        <v>24</v>
      </c>
      <c r="BE54" s="15" t="s">
        <v>1793</v>
      </c>
      <c r="BH54" s="17"/>
      <c r="BI54" s="15" t="s">
        <v>82</v>
      </c>
      <c r="BJ54" s="37">
        <v>75</v>
      </c>
      <c r="BK54" s="15" t="s">
        <v>205</v>
      </c>
      <c r="BM54" s="37"/>
      <c r="BN54" s="15" t="s">
        <v>82</v>
      </c>
      <c r="BP54" s="37">
        <v>73.5</v>
      </c>
      <c r="BQ54" s="15" t="s">
        <v>205</v>
      </c>
      <c r="BT54" s="17"/>
      <c r="BU54" s="15" t="s">
        <v>82</v>
      </c>
      <c r="BW54" s="17"/>
      <c r="BX54" s="15" t="s">
        <v>82</v>
      </c>
      <c r="BY54" s="37">
        <v>75</v>
      </c>
      <c r="BZ54" s="15" t="s">
        <v>205</v>
      </c>
      <c r="CB54" s="17"/>
      <c r="CC54" s="15" t="s">
        <v>1504</v>
      </c>
      <c r="CE54" s="17"/>
      <c r="CF54" s="15" t="s">
        <v>1793</v>
      </c>
      <c r="CH54" s="55">
        <f>IF(Regn2!$R54&gt;1,Regn2!AL54,"")</f>
        <v>3000</v>
      </c>
      <c r="CI54" s="15" t="str">
        <f>IF(Regn2!AO54&lt;&gt;0,Regn2!AO54,"")</f>
        <v>FE</v>
      </c>
      <c r="CK54" s="16"/>
      <c r="CL54" s="15" t="str">
        <f>IF(Regn2!AO54&lt;&gt;0,Regn2!AO54,"")</f>
        <v>FE</v>
      </c>
      <c r="CN54" s="33">
        <f>IF(Regn2!$R54&gt;1,Regn2!DK54,"")</f>
        <v>14</v>
      </c>
      <c r="CO54" s="15" t="s">
        <v>201</v>
      </c>
      <c r="CQ54" s="38"/>
      <c r="CR54" s="15" t="s">
        <v>201</v>
      </c>
      <c r="CT54" s="55">
        <f>IF(Regn2!$R54&gt;1,Regn2!AR54,"")</f>
        <v>1.2</v>
      </c>
      <c r="CU54" s="15" t="s">
        <v>188</v>
      </c>
      <c r="CW54" s="124"/>
      <c r="CX54" s="15" t="s">
        <v>188</v>
      </c>
      <c r="CZ54" s="25">
        <f>IF(Regn2!$R54&gt;1,Regn2!AW54,"")</f>
        <v>0</v>
      </c>
      <c r="DA54" s="15" t="s">
        <v>188</v>
      </c>
      <c r="DC54" s="17"/>
      <c r="DD54" s="15" t="s">
        <v>188</v>
      </c>
      <c r="DF54" s="25">
        <f>IF(Regn2!$R54&gt;1,Regn2!BB54,"")</f>
        <v>0</v>
      </c>
      <c r="DG54" s="15" t="s">
        <v>192</v>
      </c>
      <c r="DI54" s="16"/>
      <c r="DJ54" s="15" t="s">
        <v>192</v>
      </c>
      <c r="DO54" s="33">
        <f>IF(Regn2!$R54&gt;1,Regn2!BI54,"")</f>
        <v>0</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f>IF(Regn2!$R54&gt;1,NniveauDelsaedsk1,"")</f>
        <v>194</v>
      </c>
      <c r="FM54" s="15" t="s">
        <v>82</v>
      </c>
      <c r="FO54" s="17"/>
      <c r="FP54" s="15" t="s">
        <v>82</v>
      </c>
      <c r="FR54" s="32">
        <f>IF(Regn2!$R54&gt;1,Regn2!HU54,"")</f>
        <v>272.32333333333298</v>
      </c>
      <c r="FS54" s="15" t="s">
        <v>531</v>
      </c>
      <c r="FU54" s="17"/>
      <c r="FV54" s="15" t="s">
        <v>531</v>
      </c>
      <c r="FX54" s="32">
        <f>IF(Regn2!$R54&gt;1,Regn2!HR54,"")</f>
        <v>272.32333333333298</v>
      </c>
      <c r="FY54" s="15" t="s">
        <v>531</v>
      </c>
      <c r="GA54" s="17"/>
      <c r="GB54" s="15" t="s">
        <v>531</v>
      </c>
      <c r="GD54" s="15">
        <f>IF(Regn2!$R54&gt;1,RetentionNbal,"")</f>
        <v>65</v>
      </c>
      <c r="GE54" s="15" t="s">
        <v>205</v>
      </c>
      <c r="GF54" s="17"/>
      <c r="GG54" s="15" t="s">
        <v>205</v>
      </c>
      <c r="GI54" s="15" t="str">
        <f>IF(Regn2!$R54&lt;=1,"",VLOOKUP(Regn2!$R54,Afgr,2))</f>
        <v>Permanent græs</v>
      </c>
      <c r="GK54" s="25">
        <f>IF(Regn2!$R54&gt;1,Regn2!IO54,"")</f>
        <v>0</v>
      </c>
      <c r="GL54" s="15" t="s">
        <v>188</v>
      </c>
      <c r="GN54" s="16"/>
      <c r="GO54" s="15" t="s">
        <v>188</v>
      </c>
      <c r="GQ54" s="25">
        <f>IF(Regn2!$R54&gt;1,Regn2!JK54,"")</f>
        <v>692.69999999999993</v>
      </c>
      <c r="GR54" s="15" t="s">
        <v>188</v>
      </c>
      <c r="GT54" s="16"/>
      <c r="GU54" s="15" t="s">
        <v>188</v>
      </c>
      <c r="GW54" s="25">
        <f>IF(Regn2!$R54&gt;1,Regn2!JO54,"")</f>
        <v>0</v>
      </c>
      <c r="GX54" s="15" t="s">
        <v>188</v>
      </c>
      <c r="GZ54" s="16"/>
      <c r="HA54" s="15" t="s">
        <v>188</v>
      </c>
      <c r="HC54" s="25">
        <f>IF(Regn2!$R54&gt;1,Regn2!JS54,"")</f>
        <v>0</v>
      </c>
      <c r="HD54" s="15" t="s">
        <v>188</v>
      </c>
      <c r="HF54" s="16"/>
      <c r="HG54" s="15" t="s">
        <v>188</v>
      </c>
      <c r="HI54" s="25">
        <f>IF(Regn2!$R54&gt;1,Regn2!JY54,"")</f>
        <v>0</v>
      </c>
      <c r="HJ54" s="15" t="s">
        <v>362</v>
      </c>
      <c r="HL54" s="16"/>
      <c r="HM54" s="15" t="s">
        <v>188</v>
      </c>
      <c r="HO54" s="25">
        <f>IF(Regn2!$R54&gt;1,Regn2!KL54,"")</f>
        <v>0</v>
      </c>
      <c r="HP54" s="15" t="s">
        <v>188</v>
      </c>
      <c r="HR54" s="16"/>
      <c r="HS54" s="15" t="s">
        <v>188</v>
      </c>
      <c r="HU54" s="25">
        <f>IF(Regn2!$R54&gt;1,Regn2!KP54,"")</f>
        <v>280</v>
      </c>
      <c r="HV54" s="15" t="s">
        <v>188</v>
      </c>
      <c r="HX54" s="16"/>
      <c r="HY54" s="15" t="s">
        <v>188</v>
      </c>
      <c r="IA54" s="25">
        <f>IF(Regn2!$R54&gt;1,Regn2!KT54,"")</f>
        <v>0</v>
      </c>
      <c r="IB54" s="15" t="s">
        <v>188</v>
      </c>
      <c r="ID54" s="16"/>
      <c r="IE54" s="15" t="s">
        <v>188</v>
      </c>
      <c r="IG54" s="25">
        <f>IF(Regn2!$R54&gt;1,Regn2!KX54,"")</f>
        <v>0</v>
      </c>
      <c r="IH54" s="15" t="s">
        <v>531</v>
      </c>
      <c r="IJ54" s="16"/>
      <c r="IK54" s="15" t="s">
        <v>531</v>
      </c>
      <c r="IM54" s="25">
        <f>IF(Regn2!$R54&gt;1,Regn2!KZ54,"")</f>
        <v>0</v>
      </c>
      <c r="IN54" s="15" t="s">
        <v>188</v>
      </c>
      <c r="IP54" s="16"/>
      <c r="IQ54" s="15" t="s">
        <v>188</v>
      </c>
      <c r="IS54" s="25">
        <f>IF(Regn2!$R54&gt;1,Regn2!LG54,"")</f>
        <v>0</v>
      </c>
      <c r="IT54" s="15" t="s">
        <v>188</v>
      </c>
      <c r="IV54" s="16"/>
      <c r="IW54" s="15" t="s">
        <v>405</v>
      </c>
      <c r="IY54" s="25">
        <f>IF(Regn2!$R54&gt;1,Regn2!LM54,"")</f>
        <v>0</v>
      </c>
      <c r="IZ54" s="15" t="s">
        <v>188</v>
      </c>
      <c r="JB54" s="16"/>
      <c r="JC54" s="15" t="s">
        <v>188</v>
      </c>
      <c r="JH54" s="25">
        <f>IF(Regn2!$R54&gt;1,Regn2!LQ54,"")</f>
        <v>0</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t="s">
        <v>2366</v>
      </c>
      <c r="AG56" s="36">
        <v>1.97</v>
      </c>
      <c r="AH56" s="15" t="s">
        <v>85</v>
      </c>
      <c r="AL56" s="15" t="str">
        <f>IF(Regn2!$R56&lt;=1,"",VLOOKUP(Regn2!$R56,Afgr,2))</f>
        <v>Permanent græs</v>
      </c>
      <c r="AN56" s="32">
        <f>IF(Regn2!$R56&gt;1,Regn2!AE56,"")</f>
        <v>134</v>
      </c>
      <c r="AO56" s="15" t="s">
        <v>82</v>
      </c>
      <c r="AQ56" s="17"/>
      <c r="AR56" s="15" t="s">
        <v>82</v>
      </c>
      <c r="AT56" s="37">
        <v>52</v>
      </c>
      <c r="AU56" s="15" t="s">
        <v>82</v>
      </c>
      <c r="AX56" s="17"/>
      <c r="AY56" s="15" t="s">
        <v>82</v>
      </c>
      <c r="BA56" s="17">
        <v>7</v>
      </c>
      <c r="BB56" s="15" t="s">
        <v>1504</v>
      </c>
      <c r="BD56" s="17">
        <v>24</v>
      </c>
      <c r="BE56" s="15" t="s">
        <v>1793</v>
      </c>
      <c r="BH56" s="17"/>
      <c r="BI56" s="15" t="s">
        <v>82</v>
      </c>
      <c r="BJ56" s="37">
        <v>75</v>
      </c>
      <c r="BK56" s="15" t="s">
        <v>205</v>
      </c>
      <c r="BM56" s="37"/>
      <c r="BN56" s="15" t="s">
        <v>82</v>
      </c>
      <c r="BP56" s="37">
        <v>73.5</v>
      </c>
      <c r="BQ56" s="15" t="s">
        <v>205</v>
      </c>
      <c r="BT56" s="17"/>
      <c r="BU56" s="15" t="s">
        <v>82</v>
      </c>
      <c r="BW56" s="17"/>
      <c r="BX56" s="15" t="s">
        <v>82</v>
      </c>
      <c r="BY56" s="37">
        <v>75</v>
      </c>
      <c r="BZ56" s="15" t="s">
        <v>205</v>
      </c>
      <c r="CB56" s="17"/>
      <c r="CC56" s="15" t="s">
        <v>1504</v>
      </c>
      <c r="CE56" s="17"/>
      <c r="CF56" s="15" t="s">
        <v>1793</v>
      </c>
      <c r="CH56" s="55">
        <f>IF(Regn2!$R56&gt;1,Regn2!AL56,"")</f>
        <v>3000</v>
      </c>
      <c r="CI56" s="15" t="str">
        <f>IF(Regn2!AO56&lt;&gt;0,Regn2!AO56,"")</f>
        <v>FE</v>
      </c>
      <c r="CK56" s="16"/>
      <c r="CL56" s="15" t="str">
        <f>IF(Regn2!AO56&lt;&gt;0,Regn2!AO56,"")</f>
        <v>FE</v>
      </c>
      <c r="CN56" s="33">
        <f>IF(Regn2!$R56&gt;1,Regn2!DK56,"")</f>
        <v>14</v>
      </c>
      <c r="CO56" s="15" t="s">
        <v>201</v>
      </c>
      <c r="CQ56" s="38"/>
      <c r="CR56" s="15" t="s">
        <v>201</v>
      </c>
      <c r="CT56" s="55">
        <f>IF(Regn2!$R56&gt;1,Regn2!AR56,"")</f>
        <v>1.2</v>
      </c>
      <c r="CU56" s="15" t="s">
        <v>188</v>
      </c>
      <c r="CW56" s="124"/>
      <c r="CX56" s="15" t="s">
        <v>188</v>
      </c>
      <c r="CZ56" s="25">
        <f>IF(Regn2!$R56&gt;1,Regn2!AW56,"")</f>
        <v>0</v>
      </c>
      <c r="DA56" s="15" t="s">
        <v>188</v>
      </c>
      <c r="DC56" s="17"/>
      <c r="DD56" s="15" t="s">
        <v>188</v>
      </c>
      <c r="DF56" s="25">
        <f>IF(Regn2!$R56&gt;1,Regn2!BB56,"")</f>
        <v>0</v>
      </c>
      <c r="DG56" s="15" t="s">
        <v>192</v>
      </c>
      <c r="DI56" s="16"/>
      <c r="DJ56" s="15" t="s">
        <v>192</v>
      </c>
      <c r="DO56" s="33">
        <f>IF(Regn2!$R56&gt;1,Regn2!BI56,"")</f>
        <v>0</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f>IF(Regn2!$R56&gt;1,NniveauDelsaedsk1,"")</f>
        <v>194</v>
      </c>
      <c r="FM56" s="15" t="s">
        <v>82</v>
      </c>
      <c r="FO56" s="17"/>
      <c r="FP56" s="15" t="s">
        <v>82</v>
      </c>
      <c r="FR56" s="32">
        <f>IF(Regn2!$R56&gt;1,Regn2!HU56,"")</f>
        <v>272.32333333333298</v>
      </c>
      <c r="FS56" s="15" t="s">
        <v>531</v>
      </c>
      <c r="FU56" s="17"/>
      <c r="FV56" s="15" t="s">
        <v>531</v>
      </c>
      <c r="FX56" s="32">
        <f>IF(Regn2!$R56&gt;1,Regn2!HR56,"")</f>
        <v>272.32333333333298</v>
      </c>
      <c r="FY56" s="15" t="s">
        <v>531</v>
      </c>
      <c r="GA56" s="17"/>
      <c r="GB56" s="15" t="s">
        <v>531</v>
      </c>
      <c r="GD56" s="15">
        <f>IF(Regn2!$R56&gt;1,RetentionNbal,"")</f>
        <v>65</v>
      </c>
      <c r="GE56" s="15" t="s">
        <v>205</v>
      </c>
      <c r="GF56" s="17"/>
      <c r="GG56" s="15" t="s">
        <v>205</v>
      </c>
      <c r="GI56" s="15" t="str">
        <f>IF(Regn2!$R56&lt;=1,"",VLOOKUP(Regn2!$R56,Afgr,2))</f>
        <v>Permanent græs</v>
      </c>
      <c r="GK56" s="25">
        <f>IF(Regn2!$R56&gt;1,Regn2!IO56,"")</f>
        <v>0</v>
      </c>
      <c r="GL56" s="15" t="s">
        <v>188</v>
      </c>
      <c r="GN56" s="16"/>
      <c r="GO56" s="15" t="s">
        <v>188</v>
      </c>
      <c r="GQ56" s="25">
        <f>IF(Regn2!$R56&gt;1,Regn2!JK56,"")</f>
        <v>692.69999999999993</v>
      </c>
      <c r="GR56" s="15" t="s">
        <v>188</v>
      </c>
      <c r="GT56" s="16"/>
      <c r="GU56" s="15" t="s">
        <v>188</v>
      </c>
      <c r="GW56" s="25">
        <f>IF(Regn2!$R56&gt;1,Regn2!JO56,"")</f>
        <v>0</v>
      </c>
      <c r="GX56" s="15" t="s">
        <v>188</v>
      </c>
      <c r="GZ56" s="16"/>
      <c r="HA56" s="15" t="s">
        <v>188</v>
      </c>
      <c r="HC56" s="25">
        <f>IF(Regn2!$R56&gt;1,Regn2!JS56,"")</f>
        <v>0</v>
      </c>
      <c r="HD56" s="15" t="s">
        <v>188</v>
      </c>
      <c r="HF56" s="16"/>
      <c r="HG56" s="15" t="s">
        <v>188</v>
      </c>
      <c r="HI56" s="25">
        <f>IF(Regn2!$R56&gt;1,Regn2!JY56,"")</f>
        <v>0</v>
      </c>
      <c r="HJ56" s="15" t="s">
        <v>362</v>
      </c>
      <c r="HL56" s="16"/>
      <c r="HM56" s="15" t="s">
        <v>188</v>
      </c>
      <c r="HO56" s="25">
        <f>IF(Regn2!$R56&gt;1,Regn2!KL56,"")</f>
        <v>0</v>
      </c>
      <c r="HP56" s="15" t="s">
        <v>188</v>
      </c>
      <c r="HR56" s="16"/>
      <c r="HS56" s="15" t="s">
        <v>188</v>
      </c>
      <c r="HU56" s="25">
        <f>IF(Regn2!$R56&gt;1,Regn2!KP56,"")</f>
        <v>280</v>
      </c>
      <c r="HV56" s="15" t="s">
        <v>188</v>
      </c>
      <c r="HX56" s="16"/>
      <c r="HY56" s="15" t="s">
        <v>188</v>
      </c>
      <c r="IA56" s="25">
        <f>IF(Regn2!$R56&gt;1,Regn2!KT56,"")</f>
        <v>0</v>
      </c>
      <c r="IB56" s="15" t="s">
        <v>188</v>
      </c>
      <c r="ID56" s="16"/>
      <c r="IE56" s="15" t="s">
        <v>188</v>
      </c>
      <c r="IG56" s="25">
        <f>IF(Regn2!$R56&gt;1,Regn2!KX56,"")</f>
        <v>0</v>
      </c>
      <c r="IH56" s="15" t="s">
        <v>531</v>
      </c>
      <c r="IJ56" s="16"/>
      <c r="IK56" s="15" t="s">
        <v>531</v>
      </c>
      <c r="IM56" s="25">
        <f>IF(Regn2!$R56&gt;1,Regn2!KZ56,"")</f>
        <v>0</v>
      </c>
      <c r="IN56" s="15" t="s">
        <v>188</v>
      </c>
      <c r="IP56" s="16"/>
      <c r="IQ56" s="15" t="s">
        <v>188</v>
      </c>
      <c r="IS56" s="25">
        <f>IF(Regn2!$R56&gt;1,Regn2!LG56,"")</f>
        <v>0</v>
      </c>
      <c r="IT56" s="15" t="s">
        <v>188</v>
      </c>
      <c r="IV56" s="16"/>
      <c r="IW56" s="15" t="s">
        <v>405</v>
      </c>
      <c r="IY56" s="25">
        <f>IF(Regn2!$R56&gt;1,Regn2!LM56,"")</f>
        <v>0</v>
      </c>
      <c r="IZ56" s="15" t="s">
        <v>188</v>
      </c>
      <c r="JB56" s="16"/>
      <c r="JC56" s="15" t="s">
        <v>188</v>
      </c>
      <c r="JH56" s="25">
        <f>IF(Regn2!$R56&gt;1,Regn2!LQ56,"")</f>
        <v>0</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t="s">
        <v>2367</v>
      </c>
      <c r="AG58" s="36">
        <v>0.98</v>
      </c>
      <c r="AH58" s="15" t="s">
        <v>85</v>
      </c>
      <c r="AL58" s="15" t="str">
        <f>IF(Regn2!$R58&lt;=1,"",VLOOKUP(Regn2!$R58,Afgr,2))</f>
        <v>Permanent græs</v>
      </c>
      <c r="AN58" s="32">
        <f>IF(Regn2!$R58&gt;1,Regn2!AE58,"")</f>
        <v>134</v>
      </c>
      <c r="AO58" s="15" t="s">
        <v>82</v>
      </c>
      <c r="AQ58" s="17"/>
      <c r="AR58" s="15" t="s">
        <v>82</v>
      </c>
      <c r="AT58" s="37">
        <v>52</v>
      </c>
      <c r="AU58" s="15" t="s">
        <v>82</v>
      </c>
      <c r="AX58" s="17"/>
      <c r="AY58" s="15" t="s">
        <v>82</v>
      </c>
      <c r="BA58" s="17">
        <v>7</v>
      </c>
      <c r="BB58" s="15" t="s">
        <v>1504</v>
      </c>
      <c r="BD58" s="17">
        <v>24</v>
      </c>
      <c r="BE58" s="15" t="s">
        <v>1793</v>
      </c>
      <c r="BH58" s="17"/>
      <c r="BI58" s="15" t="s">
        <v>82</v>
      </c>
      <c r="BJ58" s="37">
        <v>75</v>
      </c>
      <c r="BK58" s="15" t="s">
        <v>205</v>
      </c>
      <c r="BM58" s="37"/>
      <c r="BN58" s="15" t="s">
        <v>82</v>
      </c>
      <c r="BP58" s="37">
        <v>73.5</v>
      </c>
      <c r="BQ58" s="15" t="s">
        <v>205</v>
      </c>
      <c r="BT58" s="17"/>
      <c r="BU58" s="15" t="s">
        <v>82</v>
      </c>
      <c r="BW58" s="17"/>
      <c r="BX58" s="15" t="s">
        <v>82</v>
      </c>
      <c r="BY58" s="37">
        <v>75</v>
      </c>
      <c r="BZ58" s="15" t="s">
        <v>205</v>
      </c>
      <c r="CB58" s="17"/>
      <c r="CC58" s="15" t="s">
        <v>1504</v>
      </c>
      <c r="CE58" s="17"/>
      <c r="CF58" s="15" t="s">
        <v>1793</v>
      </c>
      <c r="CH58" s="55">
        <f>IF(Regn2!$R58&gt;1,Regn2!AL58,"")</f>
        <v>3000</v>
      </c>
      <c r="CI58" s="15" t="str">
        <f>IF(Regn2!AO58&lt;&gt;0,Regn2!AO58,"")</f>
        <v>FE</v>
      </c>
      <c r="CK58" s="16"/>
      <c r="CL58" s="15" t="str">
        <f>IF(Regn2!AO58&lt;&gt;0,Regn2!AO58,"")</f>
        <v>FE</v>
      </c>
      <c r="CN58" s="33">
        <f>IF(Regn2!$R58&gt;1,Regn2!DK58,"")</f>
        <v>14</v>
      </c>
      <c r="CO58" s="15" t="s">
        <v>201</v>
      </c>
      <c r="CQ58" s="38"/>
      <c r="CR58" s="15" t="s">
        <v>201</v>
      </c>
      <c r="CT58" s="55">
        <f>IF(Regn2!$R58&gt;1,Regn2!AR58,"")</f>
        <v>1.2</v>
      </c>
      <c r="CU58" s="15" t="s">
        <v>188</v>
      </c>
      <c r="CW58" s="124"/>
      <c r="CX58" s="15" t="s">
        <v>188</v>
      </c>
      <c r="CZ58" s="25">
        <f>IF(Regn2!$R58&gt;1,Regn2!AW58,"")</f>
        <v>0</v>
      </c>
      <c r="DA58" s="15" t="s">
        <v>188</v>
      </c>
      <c r="DC58" s="17"/>
      <c r="DD58" s="15" t="s">
        <v>188</v>
      </c>
      <c r="DF58" s="25">
        <f>IF(Regn2!$R58&gt;1,Regn2!BB58,"")</f>
        <v>0</v>
      </c>
      <c r="DG58" s="15" t="s">
        <v>192</v>
      </c>
      <c r="DI58" s="16"/>
      <c r="DJ58" s="15" t="s">
        <v>192</v>
      </c>
      <c r="DO58" s="33">
        <f>IF(Regn2!$R58&gt;1,Regn2!BI58,"")</f>
        <v>0</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f>IF(Regn2!$R58&gt;1,NniveauDelsaedsk1,"")</f>
        <v>194</v>
      </c>
      <c r="FM58" s="15" t="s">
        <v>82</v>
      </c>
      <c r="FO58" s="17"/>
      <c r="FP58" s="15" t="s">
        <v>82</v>
      </c>
      <c r="FR58" s="32">
        <f>IF(Regn2!$R58&gt;1,Regn2!HU58,"")</f>
        <v>272.32333333333298</v>
      </c>
      <c r="FS58" s="15" t="s">
        <v>531</v>
      </c>
      <c r="FU58" s="17"/>
      <c r="FV58" s="15" t="s">
        <v>531</v>
      </c>
      <c r="FX58" s="32">
        <f>IF(Regn2!$R58&gt;1,Regn2!HR58,"")</f>
        <v>272.32333333333298</v>
      </c>
      <c r="FY58" s="15" t="s">
        <v>531</v>
      </c>
      <c r="GA58" s="17"/>
      <c r="GB58" s="15" t="s">
        <v>531</v>
      </c>
      <c r="GD58" s="15">
        <f>IF(Regn2!$R58&gt;1,RetentionNbal,"")</f>
        <v>65</v>
      </c>
      <c r="GE58" s="15" t="s">
        <v>205</v>
      </c>
      <c r="GF58" s="17"/>
      <c r="GG58" s="15" t="s">
        <v>205</v>
      </c>
      <c r="GI58" s="15" t="str">
        <f>IF(Regn2!$R58&lt;=1,"",VLOOKUP(Regn2!$R58,Afgr,2))</f>
        <v>Permanent græs</v>
      </c>
      <c r="GK58" s="25">
        <f>IF(Regn2!$R58&gt;1,Regn2!IO58,"")</f>
        <v>0</v>
      </c>
      <c r="GL58" s="15" t="s">
        <v>188</v>
      </c>
      <c r="GN58" s="16"/>
      <c r="GO58" s="15" t="s">
        <v>188</v>
      </c>
      <c r="GQ58" s="25">
        <f>IF(Regn2!$R58&gt;1,Regn2!JK58,"")</f>
        <v>692.69999999999993</v>
      </c>
      <c r="GR58" s="15" t="s">
        <v>188</v>
      </c>
      <c r="GT58" s="16"/>
      <c r="GU58" s="15" t="s">
        <v>188</v>
      </c>
      <c r="GW58" s="25">
        <f>IF(Regn2!$R58&gt;1,Regn2!JO58,"")</f>
        <v>0</v>
      </c>
      <c r="GX58" s="15" t="s">
        <v>188</v>
      </c>
      <c r="GZ58" s="16"/>
      <c r="HA58" s="15" t="s">
        <v>188</v>
      </c>
      <c r="HC58" s="25">
        <f>IF(Regn2!$R58&gt;1,Regn2!JS58,"")</f>
        <v>0</v>
      </c>
      <c r="HD58" s="15" t="s">
        <v>188</v>
      </c>
      <c r="HF58" s="16"/>
      <c r="HG58" s="15" t="s">
        <v>188</v>
      </c>
      <c r="HI58" s="25">
        <f>IF(Regn2!$R58&gt;1,Regn2!JY58,"")</f>
        <v>0</v>
      </c>
      <c r="HJ58" s="15" t="s">
        <v>362</v>
      </c>
      <c r="HL58" s="16"/>
      <c r="HM58" s="15" t="s">
        <v>188</v>
      </c>
      <c r="HO58" s="25">
        <f>IF(Regn2!$R58&gt;1,Regn2!KL58,"")</f>
        <v>0</v>
      </c>
      <c r="HP58" s="15" t="s">
        <v>188</v>
      </c>
      <c r="HR58" s="16"/>
      <c r="HS58" s="15" t="s">
        <v>188</v>
      </c>
      <c r="HU58" s="25">
        <f>IF(Regn2!$R58&gt;1,Regn2!KP58,"")</f>
        <v>280</v>
      </c>
      <c r="HV58" s="15" t="s">
        <v>188</v>
      </c>
      <c r="HX58" s="16"/>
      <c r="HY58" s="15" t="s">
        <v>188</v>
      </c>
      <c r="IA58" s="25">
        <f>IF(Regn2!$R58&gt;1,Regn2!KT58,"")</f>
        <v>0</v>
      </c>
      <c r="IB58" s="15" t="s">
        <v>188</v>
      </c>
      <c r="ID58" s="16"/>
      <c r="IE58" s="15" t="s">
        <v>188</v>
      </c>
      <c r="IG58" s="25">
        <f>IF(Regn2!$R58&gt;1,Regn2!KX58,"")</f>
        <v>0</v>
      </c>
      <c r="IH58" s="15" t="s">
        <v>531</v>
      </c>
      <c r="IJ58" s="16"/>
      <c r="IK58" s="15" t="s">
        <v>531</v>
      </c>
      <c r="IM58" s="25">
        <f>IF(Regn2!$R58&gt;1,Regn2!KZ58,"")</f>
        <v>0</v>
      </c>
      <c r="IN58" s="15" t="s">
        <v>188</v>
      </c>
      <c r="IP58" s="16"/>
      <c r="IQ58" s="15" t="s">
        <v>188</v>
      </c>
      <c r="IS58" s="25">
        <f>IF(Regn2!$R58&gt;1,Regn2!LG58,"")</f>
        <v>0</v>
      </c>
      <c r="IT58" s="15" t="s">
        <v>188</v>
      </c>
      <c r="IV58" s="16"/>
      <c r="IW58" s="15" t="s">
        <v>405</v>
      </c>
      <c r="IY58" s="25">
        <f>IF(Regn2!$R58&gt;1,Regn2!LM58,"")</f>
        <v>0</v>
      </c>
      <c r="IZ58" s="15" t="s">
        <v>188</v>
      </c>
      <c r="JB58" s="16"/>
      <c r="JC58" s="15" t="s">
        <v>188</v>
      </c>
      <c r="JH58" s="25">
        <f>IF(Regn2!$R58&gt;1,Regn2!LQ58,"")</f>
        <v>0</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t="s">
        <v>2368</v>
      </c>
      <c r="AG60" s="36">
        <v>1.34</v>
      </c>
      <c r="AH60" s="15" t="s">
        <v>85</v>
      </c>
      <c r="AL60" s="15" t="str">
        <f>IF(Regn2!$R60&lt;=1,"",VLOOKUP(Regn2!$R60,Afgr,2))</f>
        <v>Kløvergræs, 4 slæt</v>
      </c>
      <c r="AN60" s="32">
        <f>IF(Regn2!$R60&gt;1,Regn2!AE60,"")</f>
        <v>321</v>
      </c>
      <c r="AO60" s="15" t="s">
        <v>82</v>
      </c>
      <c r="AQ60" s="17"/>
      <c r="AR60" s="15" t="s">
        <v>82</v>
      </c>
      <c r="AT60" s="37">
        <v>206</v>
      </c>
      <c r="AU60" s="15" t="s">
        <v>82</v>
      </c>
      <c r="AX60" s="17"/>
      <c r="AY60" s="15" t="s">
        <v>82</v>
      </c>
      <c r="BA60" s="17">
        <v>27</v>
      </c>
      <c r="BB60" s="15" t="s">
        <v>1504</v>
      </c>
      <c r="BD60" s="17">
        <v>96</v>
      </c>
      <c r="BE60" s="15" t="s">
        <v>1793</v>
      </c>
      <c r="BH60" s="17"/>
      <c r="BI60" s="15" t="s">
        <v>82</v>
      </c>
      <c r="BJ60" s="37">
        <v>75</v>
      </c>
      <c r="BK60" s="15" t="s">
        <v>205</v>
      </c>
      <c r="BM60" s="37"/>
      <c r="BN60" s="15" t="s">
        <v>82</v>
      </c>
      <c r="BP60" s="37">
        <v>73.5</v>
      </c>
      <c r="BQ60" s="15" t="s">
        <v>205</v>
      </c>
      <c r="BT60" s="17"/>
      <c r="BU60" s="15" t="s">
        <v>82</v>
      </c>
      <c r="BW60" s="17"/>
      <c r="BX60" s="15" t="s">
        <v>82</v>
      </c>
      <c r="BY60" s="37">
        <v>75</v>
      </c>
      <c r="BZ60" s="15" t="s">
        <v>205</v>
      </c>
      <c r="CB60" s="17"/>
      <c r="CC60" s="15" t="s">
        <v>1504</v>
      </c>
      <c r="CE60" s="17"/>
      <c r="CF60" s="15" t="s">
        <v>1793</v>
      </c>
      <c r="CH60" s="55">
        <f>IF(Regn2!$R60&gt;1,Regn2!AL60,"")</f>
        <v>7100</v>
      </c>
      <c r="CI60" s="15" t="str">
        <f>IF(Regn2!AO60&lt;&gt;0,Regn2!AO60,"")</f>
        <v>FE</v>
      </c>
      <c r="CK60" s="16"/>
      <c r="CL60" s="15" t="str">
        <f>IF(Regn2!AO60&lt;&gt;0,Regn2!AO60,"")</f>
        <v>FE</v>
      </c>
      <c r="CN60" s="33">
        <f>IF(Regn2!$R60&gt;1,Regn2!DK60,"")</f>
        <v>16.3125</v>
      </c>
      <c r="CO60" s="15" t="s">
        <v>201</v>
      </c>
      <c r="CQ60" s="38"/>
      <c r="CR60" s="15" t="s">
        <v>201</v>
      </c>
      <c r="CT60" s="55">
        <f>IF(Regn2!$R60&gt;1,Regn2!AR60,"")</f>
        <v>1.2</v>
      </c>
      <c r="CU60" s="15" t="s">
        <v>188</v>
      </c>
      <c r="CW60" s="124"/>
      <c r="CX60" s="15" t="s">
        <v>188</v>
      </c>
      <c r="CZ60" s="25">
        <f>IF(Regn2!$R60&gt;1,Regn2!AW60,"")</f>
        <v>0</v>
      </c>
      <c r="DA60" s="15" t="s">
        <v>188</v>
      </c>
      <c r="DC60" s="17"/>
      <c r="DD60" s="15" t="s">
        <v>188</v>
      </c>
      <c r="DF60" s="25">
        <f>IF(Regn2!$R60&gt;1,Regn2!BB60,"")</f>
        <v>0</v>
      </c>
      <c r="DG60" s="15" t="s">
        <v>192</v>
      </c>
      <c r="DI60" s="16"/>
      <c r="DJ60" s="15" t="s">
        <v>192</v>
      </c>
      <c r="DO60" s="33">
        <f>IF(Regn2!$R60&gt;1,Regn2!BI60,"")</f>
        <v>0</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f>IF(Regn2!$R60&gt;1,NniveauDelsaedsk1,"")</f>
        <v>194</v>
      </c>
      <c r="FM60" s="15" t="s">
        <v>82</v>
      </c>
      <c r="FO60" s="17"/>
      <c r="FP60" s="15" t="s">
        <v>82</v>
      </c>
      <c r="FR60" s="32">
        <f>IF(Regn2!$R60&gt;1,Regn2!HU60,"")</f>
        <v>272.32333333333298</v>
      </c>
      <c r="FS60" s="15" t="s">
        <v>531</v>
      </c>
      <c r="FU60" s="17"/>
      <c r="FV60" s="15" t="s">
        <v>531</v>
      </c>
      <c r="FX60" s="32">
        <f>IF(Regn2!$R60&gt;1,Regn2!HR60,"")</f>
        <v>272.32333333333298</v>
      </c>
      <c r="FY60" s="15" t="s">
        <v>531</v>
      </c>
      <c r="GA60" s="17"/>
      <c r="GB60" s="15" t="s">
        <v>531</v>
      </c>
      <c r="GD60" s="15">
        <f>IF(Regn2!$R60&gt;1,RetentionNbal,"")</f>
        <v>65</v>
      </c>
      <c r="GE60" s="15" t="s">
        <v>205</v>
      </c>
      <c r="GF60" s="17"/>
      <c r="GG60" s="15" t="s">
        <v>205</v>
      </c>
      <c r="GI60" s="15" t="str">
        <f>IF(Regn2!$R60&lt;=1,"",VLOOKUP(Regn2!$R60,Afgr,2))</f>
        <v>Kløvergræs, 4 slæt</v>
      </c>
      <c r="GK60" s="25">
        <f>IF(Regn2!$R60&gt;1,Regn2!IO60,"")</f>
        <v>420</v>
      </c>
      <c r="GL60" s="15" t="s">
        <v>188</v>
      </c>
      <c r="GN60" s="16"/>
      <c r="GO60" s="15" t="s">
        <v>188</v>
      </c>
      <c r="GQ60" s="25">
        <f>IF(Regn2!$R60&gt;1,Regn2!JK60,"")</f>
        <v>2740</v>
      </c>
      <c r="GR60" s="15" t="s">
        <v>188</v>
      </c>
      <c r="GT60" s="16"/>
      <c r="GU60" s="15" t="s">
        <v>188</v>
      </c>
      <c r="GW60" s="25">
        <f>IF(Regn2!$R60&gt;1,Regn2!JO60,"")</f>
        <v>0</v>
      </c>
      <c r="GX60" s="15" t="s">
        <v>188</v>
      </c>
      <c r="GZ60" s="16"/>
      <c r="HA60" s="15" t="s">
        <v>188</v>
      </c>
      <c r="HC60" s="25">
        <f>IF(Regn2!$R60&gt;1,Regn2!JS60,"")</f>
        <v>369.2</v>
      </c>
      <c r="HD60" s="15" t="s">
        <v>188</v>
      </c>
      <c r="HF60" s="16"/>
      <c r="HG60" s="15" t="s">
        <v>188</v>
      </c>
      <c r="HI60" s="25">
        <f>IF(Regn2!$R60&gt;1,Regn2!JY60,"")</f>
        <v>0</v>
      </c>
      <c r="HJ60" s="15" t="s">
        <v>362</v>
      </c>
      <c r="HL60" s="16"/>
      <c r="HM60" s="15" t="s">
        <v>188</v>
      </c>
      <c r="HO60" s="25">
        <f>IF(Regn2!$R60&gt;1,Regn2!KL60,"")</f>
        <v>125</v>
      </c>
      <c r="HP60" s="15" t="s">
        <v>188</v>
      </c>
      <c r="HR60" s="16"/>
      <c r="HS60" s="15" t="s">
        <v>188</v>
      </c>
      <c r="HU60" s="25">
        <f>IF(Regn2!$R60&gt;1,Regn2!KP60,"")</f>
        <v>420</v>
      </c>
      <c r="HV60" s="15" t="s">
        <v>188</v>
      </c>
      <c r="HX60" s="16"/>
      <c r="HY60" s="15" t="s">
        <v>188</v>
      </c>
      <c r="IA60" s="25">
        <f>IF(Regn2!$R60&gt;1,Regn2!KT60,"")</f>
        <v>0</v>
      </c>
      <c r="IB60" s="15" t="s">
        <v>188</v>
      </c>
      <c r="ID60" s="16"/>
      <c r="IE60" s="15" t="s">
        <v>188</v>
      </c>
      <c r="IG60" s="25">
        <f>IF(Regn2!$R60&gt;1,Regn2!KX60,"")</f>
        <v>0</v>
      </c>
      <c r="IH60" s="15" t="s">
        <v>531</v>
      </c>
      <c r="IJ60" s="16"/>
      <c r="IK60" s="15" t="s">
        <v>531</v>
      </c>
      <c r="IM60" s="25">
        <f>IF(Regn2!$R60&gt;1,Regn2!KZ60,"")</f>
        <v>0</v>
      </c>
      <c r="IN60" s="15" t="s">
        <v>188</v>
      </c>
      <c r="IP60" s="16"/>
      <c r="IQ60" s="15" t="s">
        <v>188</v>
      </c>
      <c r="IS60" s="25">
        <f>IF(Regn2!$R60&gt;1,Regn2!LG60,"")</f>
        <v>3513.5</v>
      </c>
      <c r="IT60" s="15" t="s">
        <v>188</v>
      </c>
      <c r="IV60" s="16"/>
      <c r="IW60" s="15" t="s">
        <v>405</v>
      </c>
      <c r="IY60" s="25">
        <f>IF(Regn2!$R60&gt;1,Regn2!LM60,"")</f>
        <v>0</v>
      </c>
      <c r="IZ60" s="15" t="s">
        <v>188</v>
      </c>
      <c r="JB60" s="16"/>
      <c r="JC60" s="15" t="s">
        <v>188</v>
      </c>
      <c r="JH60" s="25">
        <f>IF(Regn2!$R60&gt;1,Regn2!LQ60,"")</f>
        <v>0</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t="s">
        <v>2369</v>
      </c>
      <c r="AG62" s="36">
        <v>12.52</v>
      </c>
      <c r="AH62" s="15" t="s">
        <v>85</v>
      </c>
      <c r="AL62" s="15" t="str">
        <f>IF(Regn2!$R62&lt;=1,"",VLOOKUP(Regn2!$R62,Afgr,2))</f>
        <v>Vinterhvede</v>
      </c>
      <c r="AN62" s="32">
        <f>IF(Regn2!$R62&gt;1,Regn2!AE62,"")</f>
        <v>159</v>
      </c>
      <c r="AO62" s="15" t="s">
        <v>82</v>
      </c>
      <c r="AQ62" s="17"/>
      <c r="AR62" s="15" t="s">
        <v>82</v>
      </c>
      <c r="AT62" s="37">
        <v>77</v>
      </c>
      <c r="AU62" s="15" t="s">
        <v>82</v>
      </c>
      <c r="AX62" s="17"/>
      <c r="AY62" s="15" t="s">
        <v>82</v>
      </c>
      <c r="BA62" s="17"/>
      <c r="BB62" s="15" t="s">
        <v>1504</v>
      </c>
      <c r="BD62" s="17"/>
      <c r="BE62" s="15" t="s">
        <v>1793</v>
      </c>
      <c r="BH62" s="17"/>
      <c r="BI62" s="15" t="s">
        <v>82</v>
      </c>
      <c r="BJ62" s="37">
        <v>75</v>
      </c>
      <c r="BK62" s="15" t="s">
        <v>205</v>
      </c>
      <c r="BM62" s="37">
        <v>116</v>
      </c>
      <c r="BN62" s="15" t="s">
        <v>82</v>
      </c>
      <c r="BP62" s="37">
        <v>73.5</v>
      </c>
      <c r="BQ62" s="15" t="s">
        <v>205</v>
      </c>
      <c r="BT62" s="17"/>
      <c r="BU62" s="15" t="s">
        <v>82</v>
      </c>
      <c r="BW62" s="17"/>
      <c r="BX62" s="15" t="s">
        <v>82</v>
      </c>
      <c r="BY62" s="37">
        <v>75</v>
      </c>
      <c r="BZ62" s="15" t="s">
        <v>205</v>
      </c>
      <c r="CB62" s="17">
        <v>23</v>
      </c>
      <c r="CC62" s="15" t="s">
        <v>1504</v>
      </c>
      <c r="CE62" s="17">
        <v>64</v>
      </c>
      <c r="CF62" s="15" t="s">
        <v>1793</v>
      </c>
      <c r="CH62" s="55">
        <f>IF(Regn2!$R62&gt;1,Regn2!AL62,"")</f>
        <v>81</v>
      </c>
      <c r="CI62" s="15" t="str">
        <f>IF(Regn2!AO62&lt;&gt;0,Regn2!AO62,"")</f>
        <v>hkg</v>
      </c>
      <c r="CK62" s="16"/>
      <c r="CL62" s="15" t="str">
        <f>IF(Regn2!AO62&lt;&gt;0,Regn2!AO62,"")</f>
        <v>hkg</v>
      </c>
      <c r="CN62" s="33">
        <f>IF(Regn2!$R62&gt;1,Regn2!DK62,"")</f>
        <v>9.0599999999999987</v>
      </c>
      <c r="CO62" s="15" t="s">
        <v>201</v>
      </c>
      <c r="CQ62" s="38"/>
      <c r="CR62" s="15" t="s">
        <v>201</v>
      </c>
      <c r="CT62" s="55">
        <f>IF(Regn2!$R62&gt;1,Regn2!AR62,"")</f>
        <v>145</v>
      </c>
      <c r="CU62" s="15" t="s">
        <v>188</v>
      </c>
      <c r="CW62" s="124"/>
      <c r="CX62" s="15" t="s">
        <v>188</v>
      </c>
      <c r="CZ62" s="25">
        <f>IF(Regn2!$R62&gt;1,Regn2!AW62,"")</f>
        <v>0</v>
      </c>
      <c r="DA62" s="15" t="s">
        <v>188</v>
      </c>
      <c r="DC62" s="17"/>
      <c r="DD62" s="15" t="s">
        <v>188</v>
      </c>
      <c r="DF62" s="25">
        <f>IF(Regn2!$R62&gt;1,Regn2!BB62,"")</f>
        <v>4700</v>
      </c>
      <c r="DG62" s="15" t="s">
        <v>192</v>
      </c>
      <c r="DI62" s="16"/>
      <c r="DJ62" s="15" t="s">
        <v>192</v>
      </c>
      <c r="DO62" s="33">
        <f>IF(Regn2!$R62&gt;1,Regn2!BI62,"")</f>
        <v>0.5</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f>IF(Regn2!$R62&gt;1,NniveauDelsaedsk1,"")</f>
        <v>194</v>
      </c>
      <c r="FM62" s="15" t="s">
        <v>82</v>
      </c>
      <c r="FO62" s="17"/>
      <c r="FP62" s="15" t="s">
        <v>82</v>
      </c>
      <c r="FR62" s="32">
        <f>IF(Regn2!$R62&gt;1,Regn2!HU62,"")</f>
        <v>269.74999999999898</v>
      </c>
      <c r="FS62" s="15" t="s">
        <v>531</v>
      </c>
      <c r="FU62" s="17"/>
      <c r="FV62" s="15" t="s">
        <v>531</v>
      </c>
      <c r="FX62" s="32">
        <f>IF(Regn2!$R62&gt;1,Regn2!HR62,"")</f>
        <v>269.74999999999898</v>
      </c>
      <c r="FY62" s="15" t="s">
        <v>531</v>
      </c>
      <c r="GA62" s="17"/>
      <c r="GB62" s="15" t="s">
        <v>531</v>
      </c>
      <c r="GD62" s="15">
        <f>IF(Regn2!$R62&gt;1,RetentionNbal,"")</f>
        <v>65</v>
      </c>
      <c r="GE62" s="15" t="s">
        <v>205</v>
      </c>
      <c r="GF62" s="17"/>
      <c r="GG62" s="15" t="s">
        <v>205</v>
      </c>
      <c r="GI62" s="15" t="str">
        <f>IF(Regn2!$R62&lt;=1,"",VLOOKUP(Regn2!$R62,Afgr,2))</f>
        <v>Vinterhvede</v>
      </c>
      <c r="GK62" s="25">
        <f>IF(Regn2!$R62&gt;1,Regn2!IO62,"")</f>
        <v>578</v>
      </c>
      <c r="GL62" s="15" t="s">
        <v>188</v>
      </c>
      <c r="GN62" s="16"/>
      <c r="GO62" s="15" t="s">
        <v>188</v>
      </c>
      <c r="GQ62" s="25">
        <f>IF(Regn2!$R62&gt;1,Regn2!JK62,"")</f>
        <v>650.65</v>
      </c>
      <c r="GR62" s="15" t="s">
        <v>188</v>
      </c>
      <c r="GT62" s="16"/>
      <c r="GU62" s="15" t="s">
        <v>188</v>
      </c>
      <c r="GW62" s="25">
        <f>IF(Regn2!$R62&gt;1,Regn2!JO62,"")</f>
        <v>703</v>
      </c>
      <c r="GX62" s="15" t="s">
        <v>188</v>
      </c>
      <c r="GZ62" s="16"/>
      <c r="HA62" s="15" t="s">
        <v>188</v>
      </c>
      <c r="HC62" s="25">
        <f>IF(Regn2!$R62&gt;1,Regn2!JS62,"")</f>
        <v>0</v>
      </c>
      <c r="HD62" s="15" t="s">
        <v>188</v>
      </c>
      <c r="HF62" s="16"/>
      <c r="HG62" s="15" t="s">
        <v>188</v>
      </c>
      <c r="HI62" s="25">
        <f>IF(Regn2!$R62&gt;1,Regn2!JY62,"")</f>
        <v>600</v>
      </c>
      <c r="HJ62" s="15" t="s">
        <v>362</v>
      </c>
      <c r="HL62" s="16"/>
      <c r="HM62" s="15" t="s">
        <v>188</v>
      </c>
      <c r="HO62" s="25">
        <f>IF(Regn2!$R62&gt;1,Regn2!KL62,"")</f>
        <v>350</v>
      </c>
      <c r="HP62" s="15" t="s">
        <v>188</v>
      </c>
      <c r="HR62" s="16"/>
      <c r="HS62" s="15" t="s">
        <v>188</v>
      </c>
      <c r="HU62" s="25">
        <f>IF(Regn2!$R62&gt;1,Regn2!KP62,"")</f>
        <v>280</v>
      </c>
      <c r="HV62" s="15" t="s">
        <v>188</v>
      </c>
      <c r="HX62" s="16"/>
      <c r="HY62" s="15" t="s">
        <v>188</v>
      </c>
      <c r="IA62" s="25">
        <f>IF(Regn2!$R62&gt;1,Regn2!KT62,"")</f>
        <v>450</v>
      </c>
      <c r="IB62" s="15" t="s">
        <v>188</v>
      </c>
      <c r="ID62" s="16"/>
      <c r="IE62" s="15" t="s">
        <v>188</v>
      </c>
      <c r="IG62" s="25">
        <f>IF(Regn2!$R62&gt;1,Regn2!KX62,"")</f>
        <v>0</v>
      </c>
      <c r="IH62" s="15" t="s">
        <v>531</v>
      </c>
      <c r="IJ62" s="16"/>
      <c r="IK62" s="15" t="s">
        <v>531</v>
      </c>
      <c r="IM62" s="25">
        <f>IF(Regn2!$R62&gt;1,Regn2!KZ62,"")</f>
        <v>0</v>
      </c>
      <c r="IN62" s="15" t="s">
        <v>188</v>
      </c>
      <c r="IP62" s="16"/>
      <c r="IQ62" s="15" t="s">
        <v>188</v>
      </c>
      <c r="IS62" s="25">
        <f>IF(Regn2!$R62&gt;1,Regn2!LG62,"")</f>
        <v>1188.5294117647059</v>
      </c>
      <c r="IT62" s="15" t="s">
        <v>188</v>
      </c>
      <c r="IV62" s="16"/>
      <c r="IW62" s="15" t="s">
        <v>405</v>
      </c>
      <c r="IY62" s="25">
        <f>IF(Regn2!$R62&gt;1,Regn2!LM62,"")</f>
        <v>987.08333333333326</v>
      </c>
      <c r="IZ62" s="15" t="s">
        <v>188</v>
      </c>
      <c r="JB62" s="16"/>
      <c r="JC62" s="15" t="s">
        <v>188</v>
      </c>
      <c r="JH62" s="25">
        <f>IF(Regn2!$R62&gt;1,Regn2!LQ62,"")</f>
        <v>748.44</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t="s">
        <v>2370</v>
      </c>
      <c r="AG64" s="36">
        <v>0.92</v>
      </c>
      <c r="AH64" s="15" t="s">
        <v>85</v>
      </c>
      <c r="AL64" s="15" t="str">
        <f>IF(Regn2!$R64&lt;=1,"",VLOOKUP(Regn2!$R64,Afgr,2))</f>
        <v>Kløvergræs, 4 slæt</v>
      </c>
      <c r="AN64" s="32">
        <f>IF(Regn2!$R64&gt;1,Regn2!AE64,"")</f>
        <v>321</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73.5</v>
      </c>
      <c r="BQ64" s="15" t="s">
        <v>205</v>
      </c>
      <c r="BT64" s="17"/>
      <c r="BU64" s="15" t="s">
        <v>82</v>
      </c>
      <c r="BW64" s="17"/>
      <c r="BX64" s="15" t="s">
        <v>82</v>
      </c>
      <c r="BY64" s="37">
        <v>75</v>
      </c>
      <c r="BZ64" s="15" t="s">
        <v>205</v>
      </c>
      <c r="CB64" s="17"/>
      <c r="CC64" s="15" t="s">
        <v>1504</v>
      </c>
      <c r="CE64" s="17"/>
      <c r="CF64" s="15" t="s">
        <v>1793</v>
      </c>
      <c r="CH64" s="55">
        <f>IF(Regn2!$R64&gt;1,Regn2!AL64,"")</f>
        <v>7100</v>
      </c>
      <c r="CI64" s="15" t="str">
        <f>IF(Regn2!AO64&lt;&gt;0,Regn2!AO64,"")</f>
        <v>FE</v>
      </c>
      <c r="CK64" s="16"/>
      <c r="CL64" s="15" t="str">
        <f>IF(Regn2!AO64&lt;&gt;0,Regn2!AO64,"")</f>
        <v>FE</v>
      </c>
      <c r="CN64" s="33">
        <f>IF(Regn2!$R64&gt;1,Regn2!DK64,"")</f>
        <v>16.3125</v>
      </c>
      <c r="CO64" s="15" t="s">
        <v>201</v>
      </c>
      <c r="CQ64" s="38"/>
      <c r="CR64" s="15" t="s">
        <v>201</v>
      </c>
      <c r="CT64" s="55">
        <f>IF(Regn2!$R64&gt;1,Regn2!AR64,"")</f>
        <v>1.2</v>
      </c>
      <c r="CU64" s="15" t="s">
        <v>188</v>
      </c>
      <c r="CW64" s="124"/>
      <c r="CX64" s="15" t="s">
        <v>188</v>
      </c>
      <c r="CZ64" s="25">
        <f>IF(Regn2!$R64&gt;1,Regn2!AW64,"")</f>
        <v>0</v>
      </c>
      <c r="DA64" s="15" t="s">
        <v>188</v>
      </c>
      <c r="DC64" s="17"/>
      <c r="DD64" s="15" t="s">
        <v>188</v>
      </c>
      <c r="DF64" s="25">
        <f>IF(Regn2!$R64&gt;1,Regn2!BB64,"")</f>
        <v>0</v>
      </c>
      <c r="DG64" s="15" t="s">
        <v>192</v>
      </c>
      <c r="DI64" s="16"/>
      <c r="DJ64" s="15" t="s">
        <v>192</v>
      </c>
      <c r="DO64" s="33">
        <f>IF(Regn2!$R64&gt;1,Regn2!BI64,"")</f>
        <v>0</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f>IF(Regn2!$R64&gt;1,NniveauDelsaedsk1,"")</f>
        <v>194</v>
      </c>
      <c r="FM64" s="15" t="s">
        <v>82</v>
      </c>
      <c r="FO64" s="17"/>
      <c r="FP64" s="15" t="s">
        <v>82</v>
      </c>
      <c r="FR64" s="32">
        <f>IF(Regn2!$R64&gt;1,Regn2!HU64,"")</f>
        <v>272.32333333333298</v>
      </c>
      <c r="FS64" s="15" t="s">
        <v>531</v>
      </c>
      <c r="FU64" s="17"/>
      <c r="FV64" s="15" t="s">
        <v>531</v>
      </c>
      <c r="FX64" s="32">
        <f>IF(Regn2!$R64&gt;1,Regn2!HR64,"")</f>
        <v>272.32333333333298</v>
      </c>
      <c r="FY64" s="15" t="s">
        <v>531</v>
      </c>
      <c r="GA64" s="17"/>
      <c r="GB64" s="15" t="s">
        <v>531</v>
      </c>
      <c r="GD64" s="15">
        <f>IF(Regn2!$R64&gt;1,RetentionNbal,"")</f>
        <v>65</v>
      </c>
      <c r="GE64" s="15" t="s">
        <v>205</v>
      </c>
      <c r="GF64" s="17"/>
      <c r="GG64" s="15" t="s">
        <v>205</v>
      </c>
      <c r="GI64" s="15" t="str">
        <f>IF(Regn2!$R64&lt;=1,"",VLOOKUP(Regn2!$R64,Afgr,2))</f>
        <v>Kløvergræs, 4 slæt</v>
      </c>
      <c r="GK64" s="25">
        <f>IF(Regn2!$R64&gt;1,Regn2!IO64,"")</f>
        <v>420</v>
      </c>
      <c r="GL64" s="15" t="s">
        <v>188</v>
      </c>
      <c r="GN64" s="16"/>
      <c r="GO64" s="15" t="s">
        <v>188</v>
      </c>
      <c r="GQ64" s="25">
        <f>IF(Regn2!$R64&gt;1,Regn2!JK64,"")</f>
        <v>0</v>
      </c>
      <c r="GR64" s="15" t="s">
        <v>188</v>
      </c>
      <c r="GT64" s="16"/>
      <c r="GU64" s="15" t="s">
        <v>188</v>
      </c>
      <c r="GW64" s="25">
        <f>IF(Regn2!$R64&gt;1,Regn2!JO64,"")</f>
        <v>0</v>
      </c>
      <c r="GX64" s="15" t="s">
        <v>188</v>
      </c>
      <c r="GZ64" s="16"/>
      <c r="HA64" s="15" t="s">
        <v>188</v>
      </c>
      <c r="HC64" s="25">
        <f>IF(Regn2!$R64&gt;1,Regn2!JS64,"")</f>
        <v>369.2</v>
      </c>
      <c r="HD64" s="15" t="s">
        <v>188</v>
      </c>
      <c r="HF64" s="16"/>
      <c r="HG64" s="15" t="s">
        <v>188</v>
      </c>
      <c r="HI64" s="25">
        <f>IF(Regn2!$R64&gt;1,Regn2!JY64,"")</f>
        <v>0</v>
      </c>
      <c r="HJ64" s="15" t="s">
        <v>362</v>
      </c>
      <c r="HL64" s="16"/>
      <c r="HM64" s="15" t="s">
        <v>188</v>
      </c>
      <c r="HO64" s="25">
        <f>IF(Regn2!$R64&gt;1,Regn2!KL64,"")</f>
        <v>125</v>
      </c>
      <c r="HP64" s="15" t="s">
        <v>188</v>
      </c>
      <c r="HR64" s="16"/>
      <c r="HS64" s="15" t="s">
        <v>188</v>
      </c>
      <c r="HU64" s="25">
        <f>IF(Regn2!$R64&gt;1,Regn2!KP64,"")</f>
        <v>420</v>
      </c>
      <c r="HV64" s="15" t="s">
        <v>188</v>
      </c>
      <c r="HX64" s="16"/>
      <c r="HY64" s="15" t="s">
        <v>188</v>
      </c>
      <c r="IA64" s="25">
        <f>IF(Regn2!$R64&gt;1,Regn2!KT64,"")</f>
        <v>0</v>
      </c>
      <c r="IB64" s="15" t="s">
        <v>188</v>
      </c>
      <c r="ID64" s="16"/>
      <c r="IE64" s="15" t="s">
        <v>188</v>
      </c>
      <c r="IG64" s="25">
        <f>IF(Regn2!$R64&gt;1,Regn2!KX64,"")</f>
        <v>0</v>
      </c>
      <c r="IH64" s="15" t="s">
        <v>531</v>
      </c>
      <c r="IJ64" s="16"/>
      <c r="IK64" s="15" t="s">
        <v>531</v>
      </c>
      <c r="IM64" s="25">
        <f>IF(Regn2!$R64&gt;1,Regn2!KZ64,"")</f>
        <v>0</v>
      </c>
      <c r="IN64" s="15" t="s">
        <v>188</v>
      </c>
      <c r="IP64" s="16"/>
      <c r="IQ64" s="15" t="s">
        <v>188</v>
      </c>
      <c r="IS64" s="25">
        <f>IF(Regn2!$R64&gt;1,Regn2!LG64,"")</f>
        <v>3513.5</v>
      </c>
      <c r="IT64" s="15" t="s">
        <v>188</v>
      </c>
      <c r="IV64" s="16"/>
      <c r="IW64" s="15" t="s">
        <v>405</v>
      </c>
      <c r="IY64" s="25">
        <f>IF(Regn2!$R64&gt;1,Regn2!LM64,"")</f>
        <v>0</v>
      </c>
      <c r="IZ64" s="15" t="s">
        <v>188</v>
      </c>
      <c r="JB64" s="16"/>
      <c r="JC64" s="15" t="s">
        <v>188</v>
      </c>
      <c r="JH64" s="25">
        <f>IF(Regn2!$R64&gt;1,Regn2!LQ64,"")</f>
        <v>0</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t="s">
        <v>2371</v>
      </c>
      <c r="AG66" s="36">
        <v>6.29</v>
      </c>
      <c r="AH66" s="15" t="s">
        <v>85</v>
      </c>
      <c r="AL66" s="15" t="str">
        <f>IF(Regn2!$R66&lt;=1,"",VLOOKUP(Regn2!$R66,Afgr,2))</f>
        <v>Kløvergræs, 4 slæt</v>
      </c>
      <c r="AN66" s="32">
        <f>IF(Regn2!$R66&gt;1,Regn2!AE66,"")</f>
        <v>330</v>
      </c>
      <c r="AO66" s="15" t="s">
        <v>82</v>
      </c>
      <c r="AQ66" s="17"/>
      <c r="AR66" s="15" t="s">
        <v>82</v>
      </c>
      <c r="AT66" s="37">
        <v>40</v>
      </c>
      <c r="AU66" s="15" t="s">
        <v>82</v>
      </c>
      <c r="AX66" s="17"/>
      <c r="AY66" s="15" t="s">
        <v>82</v>
      </c>
      <c r="BA66" s="17"/>
      <c r="BB66" s="15" t="s">
        <v>1504</v>
      </c>
      <c r="BD66" s="17"/>
      <c r="BE66" s="15" t="s">
        <v>1793</v>
      </c>
      <c r="BH66" s="17"/>
      <c r="BI66" s="15" t="s">
        <v>82</v>
      </c>
      <c r="BJ66" s="37">
        <v>75</v>
      </c>
      <c r="BK66" s="15" t="s">
        <v>205</v>
      </c>
      <c r="BM66" s="37">
        <v>515</v>
      </c>
      <c r="BN66" s="15" t="s">
        <v>82</v>
      </c>
      <c r="BP66" s="37">
        <v>73.5</v>
      </c>
      <c r="BQ66" s="15" t="s">
        <v>205</v>
      </c>
      <c r="BT66" s="17"/>
      <c r="BU66" s="15" t="s">
        <v>82</v>
      </c>
      <c r="BW66" s="17"/>
      <c r="BX66" s="15" t="s">
        <v>82</v>
      </c>
      <c r="BY66" s="37">
        <v>75</v>
      </c>
      <c r="BZ66" s="15" t="s">
        <v>205</v>
      </c>
      <c r="CB66" s="17">
        <v>104</v>
      </c>
      <c r="CC66" s="15" t="s">
        <v>1504</v>
      </c>
      <c r="CE66" s="17">
        <v>280</v>
      </c>
      <c r="CF66" s="15" t="s">
        <v>1793</v>
      </c>
      <c r="CH66" s="55">
        <f>IF(Regn2!$R66&gt;1,Regn2!AL66,"")</f>
        <v>7600</v>
      </c>
      <c r="CI66" s="15" t="str">
        <f>IF(Regn2!AO66&lt;&gt;0,Regn2!AO66,"")</f>
        <v>FE</v>
      </c>
      <c r="CK66" s="16"/>
      <c r="CL66" s="15" t="str">
        <f>IF(Regn2!AO66&lt;&gt;0,Regn2!AO66,"")</f>
        <v>FE</v>
      </c>
      <c r="CN66" s="33">
        <f>IF(Regn2!$R66&gt;1,Regn2!DK66,"")</f>
        <v>16.3125</v>
      </c>
      <c r="CO66" s="15" t="s">
        <v>201</v>
      </c>
      <c r="CQ66" s="38"/>
      <c r="CR66" s="15" t="s">
        <v>201</v>
      </c>
      <c r="CT66" s="55">
        <f>IF(Regn2!$R66&gt;1,Regn2!AR66,"")</f>
        <v>1.2</v>
      </c>
      <c r="CU66" s="15" t="s">
        <v>188</v>
      </c>
      <c r="CW66" s="124"/>
      <c r="CX66" s="15" t="s">
        <v>188</v>
      </c>
      <c r="CZ66" s="25">
        <f>IF(Regn2!$R66&gt;1,Regn2!AW66,"")</f>
        <v>0</v>
      </c>
      <c r="DA66" s="15" t="s">
        <v>188</v>
      </c>
      <c r="DC66" s="17"/>
      <c r="DD66" s="15" t="s">
        <v>188</v>
      </c>
      <c r="DF66" s="25">
        <f>IF(Regn2!$R66&gt;1,Regn2!BB66,"")</f>
        <v>0</v>
      </c>
      <c r="DG66" s="15" t="s">
        <v>192</v>
      </c>
      <c r="DI66" s="16"/>
      <c r="DJ66" s="15" t="s">
        <v>192</v>
      </c>
      <c r="DO66" s="33">
        <f>IF(Regn2!$R66&gt;1,Regn2!BI66,"")</f>
        <v>0</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f>IF(Regn2!$R66&gt;1,NniveauDelsaedsk1,"")</f>
        <v>194</v>
      </c>
      <c r="FM66" s="15" t="s">
        <v>82</v>
      </c>
      <c r="FO66" s="17"/>
      <c r="FP66" s="15" t="s">
        <v>82</v>
      </c>
      <c r="FR66" s="32">
        <f>IF(Regn2!$R66&gt;1,Regn2!HU66,"")</f>
        <v>272.32333333333298</v>
      </c>
      <c r="FS66" s="15" t="s">
        <v>531</v>
      </c>
      <c r="FU66" s="17"/>
      <c r="FV66" s="15" t="s">
        <v>531</v>
      </c>
      <c r="FX66" s="32">
        <f>IF(Regn2!$R66&gt;1,Regn2!HR66,"")</f>
        <v>272.32333333333298</v>
      </c>
      <c r="FY66" s="15" t="s">
        <v>531</v>
      </c>
      <c r="GA66" s="17"/>
      <c r="GB66" s="15" t="s">
        <v>531</v>
      </c>
      <c r="GD66" s="15">
        <f>IF(Regn2!$R66&gt;1,RetentionNbal,"")</f>
        <v>65</v>
      </c>
      <c r="GE66" s="15" t="s">
        <v>205</v>
      </c>
      <c r="GF66" s="17"/>
      <c r="GG66" s="15" t="s">
        <v>205</v>
      </c>
      <c r="GI66" s="15" t="str">
        <f>IF(Regn2!$R66&lt;=1,"",VLOOKUP(Regn2!$R66,Afgr,2))</f>
        <v>Kløvergræs, 4 slæt</v>
      </c>
      <c r="GK66" s="25">
        <f>IF(Regn2!$R66&gt;1,Regn2!IO66,"")</f>
        <v>420</v>
      </c>
      <c r="GL66" s="15" t="s">
        <v>188</v>
      </c>
      <c r="GN66" s="16"/>
      <c r="GO66" s="15" t="s">
        <v>188</v>
      </c>
      <c r="GQ66" s="25">
        <f>IF(Regn2!$R66&gt;1,Regn2!JK66,"")</f>
        <v>338</v>
      </c>
      <c r="GR66" s="15" t="s">
        <v>188</v>
      </c>
      <c r="GT66" s="16"/>
      <c r="GU66" s="15" t="s">
        <v>188</v>
      </c>
      <c r="GW66" s="25">
        <f>IF(Regn2!$R66&gt;1,Regn2!JO66,"")</f>
        <v>0</v>
      </c>
      <c r="GX66" s="15" t="s">
        <v>188</v>
      </c>
      <c r="GZ66" s="16"/>
      <c r="HA66" s="15" t="s">
        <v>188</v>
      </c>
      <c r="HC66" s="25">
        <f>IF(Regn2!$R66&gt;1,Regn2!JS66,"")</f>
        <v>395.2</v>
      </c>
      <c r="HD66" s="15" t="s">
        <v>188</v>
      </c>
      <c r="HF66" s="16"/>
      <c r="HG66" s="15" t="s">
        <v>188</v>
      </c>
      <c r="HI66" s="25">
        <f>IF(Regn2!$R66&gt;1,Regn2!JY66,"")</f>
        <v>0</v>
      </c>
      <c r="HJ66" s="15" t="s">
        <v>362</v>
      </c>
      <c r="HL66" s="16"/>
      <c r="HM66" s="15" t="s">
        <v>188</v>
      </c>
      <c r="HO66" s="25">
        <f>IF(Regn2!$R66&gt;1,Regn2!KL66,"")</f>
        <v>125</v>
      </c>
      <c r="HP66" s="15" t="s">
        <v>188</v>
      </c>
      <c r="HR66" s="16"/>
      <c r="HS66" s="15" t="s">
        <v>188</v>
      </c>
      <c r="HU66" s="25">
        <f>IF(Regn2!$R66&gt;1,Regn2!KP66,"")</f>
        <v>420</v>
      </c>
      <c r="HV66" s="15" t="s">
        <v>188</v>
      </c>
      <c r="HX66" s="16"/>
      <c r="HY66" s="15" t="s">
        <v>188</v>
      </c>
      <c r="IA66" s="25">
        <f>IF(Regn2!$R66&gt;1,Regn2!KT66,"")</f>
        <v>0</v>
      </c>
      <c r="IB66" s="15" t="s">
        <v>188</v>
      </c>
      <c r="ID66" s="16"/>
      <c r="IE66" s="15" t="s">
        <v>188</v>
      </c>
      <c r="IG66" s="25">
        <f>IF(Regn2!$R66&gt;1,Regn2!KX66,"")</f>
        <v>0</v>
      </c>
      <c r="IH66" s="15" t="s">
        <v>531</v>
      </c>
      <c r="IJ66" s="16"/>
      <c r="IK66" s="15" t="s">
        <v>531</v>
      </c>
      <c r="IM66" s="25">
        <f>IF(Regn2!$R66&gt;1,Regn2!KZ66,"")</f>
        <v>0</v>
      </c>
      <c r="IN66" s="15" t="s">
        <v>188</v>
      </c>
      <c r="IP66" s="16"/>
      <c r="IQ66" s="15" t="s">
        <v>188</v>
      </c>
      <c r="IS66" s="25">
        <f>IF(Regn2!$R66&gt;1,Regn2!LG66,"")</f>
        <v>3706</v>
      </c>
      <c r="IT66" s="15" t="s">
        <v>188</v>
      </c>
      <c r="IV66" s="16"/>
      <c r="IW66" s="15" t="s">
        <v>405</v>
      </c>
      <c r="IY66" s="25">
        <f>IF(Regn2!$R66&gt;1,Regn2!LM66,"")</f>
        <v>0</v>
      </c>
      <c r="IZ66" s="15" t="s">
        <v>188</v>
      </c>
      <c r="JB66" s="16"/>
      <c r="JC66" s="15" t="s">
        <v>188</v>
      </c>
      <c r="JH66" s="25">
        <f>IF(Regn2!$R66&gt;1,Regn2!LQ66,"")</f>
        <v>0</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t="s">
        <v>2372</v>
      </c>
      <c r="AG68" s="36">
        <v>5.76</v>
      </c>
      <c r="AH68" s="15" t="s">
        <v>85</v>
      </c>
      <c r="AL68" s="15" t="str">
        <f>IF(Regn2!$R68&lt;=1,"",VLOOKUP(Regn2!$R68,Afgr,2))</f>
        <v>Vårbyg, foder</v>
      </c>
      <c r="AN68" s="32">
        <f>IF(Regn2!$R68&gt;1,Regn2!AE68,"")</f>
        <v>93</v>
      </c>
      <c r="AO68" s="15" t="s">
        <v>82</v>
      </c>
      <c r="AQ68" s="17"/>
      <c r="AR68" s="15" t="s">
        <v>82</v>
      </c>
      <c r="AT68" s="37">
        <v>27</v>
      </c>
      <c r="AU68" s="15" t="s">
        <v>82</v>
      </c>
      <c r="AX68" s="17"/>
      <c r="AY68" s="15" t="s">
        <v>82</v>
      </c>
      <c r="BA68" s="17"/>
      <c r="BB68" s="15" t="s">
        <v>1504</v>
      </c>
      <c r="BD68" s="17"/>
      <c r="BE68" s="15" t="s">
        <v>1793</v>
      </c>
      <c r="BH68" s="17"/>
      <c r="BI68" s="15" t="s">
        <v>82</v>
      </c>
      <c r="BJ68" s="37">
        <v>75</v>
      </c>
      <c r="BK68" s="15" t="s">
        <v>205</v>
      </c>
      <c r="BM68" s="37">
        <v>87</v>
      </c>
      <c r="BN68" s="15" t="s">
        <v>82</v>
      </c>
      <c r="BP68" s="37">
        <v>73.5</v>
      </c>
      <c r="BQ68" s="15" t="s">
        <v>205</v>
      </c>
      <c r="BT68" s="17"/>
      <c r="BU68" s="15" t="s">
        <v>82</v>
      </c>
      <c r="BW68" s="17"/>
      <c r="BX68" s="15" t="s">
        <v>82</v>
      </c>
      <c r="BY68" s="37">
        <v>75</v>
      </c>
      <c r="BZ68" s="15" t="s">
        <v>205</v>
      </c>
      <c r="CB68" s="17">
        <v>17</v>
      </c>
      <c r="CC68" s="15" t="s">
        <v>1504</v>
      </c>
      <c r="CE68" s="17">
        <v>47</v>
      </c>
      <c r="CF68" s="15" t="s">
        <v>1793</v>
      </c>
      <c r="CH68" s="55">
        <f>IF(Regn2!$R68&gt;1,Regn2!AL68,"")</f>
        <v>56</v>
      </c>
      <c r="CI68" s="15" t="str">
        <f>IF(Regn2!AO68&lt;&gt;0,Regn2!AO68,"")</f>
        <v>hkg</v>
      </c>
      <c r="CK68" s="16"/>
      <c r="CL68" s="15" t="str">
        <f>IF(Regn2!AO68&lt;&gt;0,Regn2!AO68,"")</f>
        <v>hkg</v>
      </c>
      <c r="CN68" s="33">
        <f>IF(Regn2!$R68&gt;1,Regn2!DK68,"")</f>
        <v>9.8674999999999997</v>
      </c>
      <c r="CO68" s="15" t="s">
        <v>201</v>
      </c>
      <c r="CQ68" s="38"/>
      <c r="CR68" s="15" t="s">
        <v>201</v>
      </c>
      <c r="CT68" s="55">
        <f>IF(Regn2!$R68&gt;1,Regn2!AR68,"")</f>
        <v>145</v>
      </c>
      <c r="CU68" s="15" t="s">
        <v>188</v>
      </c>
      <c r="CW68" s="124"/>
      <c r="CX68" s="15" t="s">
        <v>188</v>
      </c>
      <c r="CZ68" s="25">
        <f>IF(Regn2!$R68&gt;1,Regn2!AW68,"")</f>
        <v>0</v>
      </c>
      <c r="DA68" s="15" t="s">
        <v>188</v>
      </c>
      <c r="DC68" s="17"/>
      <c r="DD68" s="15" t="s">
        <v>188</v>
      </c>
      <c r="DF68" s="25">
        <f>IF(Regn2!$R68&gt;1,Regn2!BB68,"")</f>
        <v>3000</v>
      </c>
      <c r="DG68" s="15" t="s">
        <v>192</v>
      </c>
      <c r="DI68" s="16"/>
      <c r="DJ68" s="15" t="s">
        <v>192</v>
      </c>
      <c r="DO68" s="33">
        <f>IF(Regn2!$R68&gt;1,Regn2!BI68,"")</f>
        <v>0.5</v>
      </c>
      <c r="DP68" s="15" t="s">
        <v>188</v>
      </c>
      <c r="DR68" s="38"/>
      <c r="DS68" s="15" t="s">
        <v>188</v>
      </c>
      <c r="DU68" s="15" t="str">
        <f>IF(Regn2!$T68&lt;=1,"",VLOOKUP(Regn2!$T68,Efgr,2))</f>
        <v>Olieræddike E</v>
      </c>
      <c r="DW68" s="25">
        <f>IF(Regn2!$T68&gt;1,Regn2!BN68,"")</f>
        <v>0</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f>IF(Regn2!$T68&gt;1,Regn2!BQ68,"")</f>
        <v>0</v>
      </c>
      <c r="FC68" s="15" t="str">
        <f>IF(Regn2!$T68&gt;1,Regn2!BT68,"")</f>
        <v>FE</v>
      </c>
      <c r="FE68" s="16"/>
      <c r="FF68" s="15" t="str">
        <f>IF(Regn2!$T68&gt;1,Regn2!BT68,"")</f>
        <v>FE</v>
      </c>
      <c r="FL68" s="32">
        <f>IF(Regn2!$R68&gt;1,NniveauDelsaedsk1,"")</f>
        <v>194</v>
      </c>
      <c r="FM68" s="15" t="s">
        <v>82</v>
      </c>
      <c r="FO68" s="17"/>
      <c r="FP68" s="15" t="s">
        <v>82</v>
      </c>
      <c r="FR68" s="32">
        <f>IF(Regn2!$R68&gt;1,Regn2!HU68,"")</f>
        <v>284.76666666666603</v>
      </c>
      <c r="FS68" s="15" t="s">
        <v>531</v>
      </c>
      <c r="FU68" s="17"/>
      <c r="FV68" s="15" t="s">
        <v>531</v>
      </c>
      <c r="FX68" s="32">
        <f>IF(Regn2!$R68&gt;1,Regn2!HR68,"")</f>
        <v>284.76666666666603</v>
      </c>
      <c r="FY68" s="15" t="s">
        <v>531</v>
      </c>
      <c r="GA68" s="17"/>
      <c r="GB68" s="15" t="s">
        <v>531</v>
      </c>
      <c r="GD68" s="15">
        <f>IF(Regn2!$R68&gt;1,RetentionNbal,"")</f>
        <v>65</v>
      </c>
      <c r="GE68" s="15" t="s">
        <v>205</v>
      </c>
      <c r="GF68" s="17"/>
      <c r="GG68" s="15" t="s">
        <v>205</v>
      </c>
      <c r="GI68" s="15" t="str">
        <f>IF(Regn2!$R68&lt;=1,"",VLOOKUP(Regn2!$R68,Afgr,2))</f>
        <v>Vårbyg, foder</v>
      </c>
      <c r="GK68" s="25">
        <f>IF(Regn2!$R68&gt;1,Regn2!IO68,"")</f>
        <v>488</v>
      </c>
      <c r="GL68" s="15" t="s">
        <v>188</v>
      </c>
      <c r="GN68" s="16"/>
      <c r="GO68" s="15" t="s">
        <v>188</v>
      </c>
      <c r="GQ68" s="25">
        <f>IF(Regn2!$R68&gt;1,Regn2!JK68,"")</f>
        <v>228.14999999999998</v>
      </c>
      <c r="GR68" s="15" t="s">
        <v>188</v>
      </c>
      <c r="GT68" s="16"/>
      <c r="GU68" s="15" t="s">
        <v>188</v>
      </c>
      <c r="GW68" s="25">
        <f>IF(Regn2!$R68&gt;1,Regn2!JO68,"")</f>
        <v>283</v>
      </c>
      <c r="GX68" s="15" t="s">
        <v>188</v>
      </c>
      <c r="GZ68" s="16"/>
      <c r="HA68" s="15" t="s">
        <v>188</v>
      </c>
      <c r="HC68" s="25">
        <f>IF(Regn2!$R68&gt;1,Regn2!JS68,"")</f>
        <v>0</v>
      </c>
      <c r="HD68" s="15" t="s">
        <v>188</v>
      </c>
      <c r="HF68" s="16"/>
      <c r="HG68" s="15" t="s">
        <v>188</v>
      </c>
      <c r="HI68" s="25">
        <f>IF(Regn2!$R68&gt;1,Regn2!JY68,"")</f>
        <v>600</v>
      </c>
      <c r="HJ68" s="15" t="s">
        <v>362</v>
      </c>
      <c r="HL68" s="16"/>
      <c r="HM68" s="15" t="s">
        <v>188</v>
      </c>
      <c r="HO68" s="25">
        <f>IF(Regn2!$R68&gt;1,Regn2!KL68,"")</f>
        <v>350</v>
      </c>
      <c r="HP68" s="15" t="s">
        <v>188</v>
      </c>
      <c r="HR68" s="16"/>
      <c r="HS68" s="15" t="s">
        <v>188</v>
      </c>
      <c r="HU68" s="25">
        <f>IF(Regn2!$R68&gt;1,Regn2!KP68,"")</f>
        <v>140</v>
      </c>
      <c r="HV68" s="15" t="s">
        <v>188</v>
      </c>
      <c r="HX68" s="16"/>
      <c r="HY68" s="15" t="s">
        <v>188</v>
      </c>
      <c r="IA68" s="25">
        <f>IF(Regn2!$R68&gt;1,Regn2!KT68,"")</f>
        <v>300</v>
      </c>
      <c r="IB68" s="15" t="s">
        <v>188</v>
      </c>
      <c r="ID68" s="16"/>
      <c r="IE68" s="15" t="s">
        <v>188</v>
      </c>
      <c r="IG68" s="25">
        <f>IF(Regn2!$R68&gt;1,Regn2!KX68,"")</f>
        <v>0</v>
      </c>
      <c r="IH68" s="15" t="s">
        <v>531</v>
      </c>
      <c r="IJ68" s="16"/>
      <c r="IK68" s="15" t="s">
        <v>531</v>
      </c>
      <c r="IM68" s="25">
        <f>IF(Regn2!$R68&gt;1,Regn2!KZ68,"")</f>
        <v>0</v>
      </c>
      <c r="IN68" s="15" t="s">
        <v>188</v>
      </c>
      <c r="IP68" s="16"/>
      <c r="IQ68" s="15" t="s">
        <v>188</v>
      </c>
      <c r="IS68" s="25">
        <f>IF(Regn2!$R68&gt;1,Regn2!LG68,"")</f>
        <v>960.58823529411757</v>
      </c>
      <c r="IT68" s="15" t="s">
        <v>188</v>
      </c>
      <c r="IV68" s="16"/>
      <c r="IW68" s="15" t="s">
        <v>405</v>
      </c>
      <c r="IY68" s="25">
        <f>IF(Regn2!$R68&gt;1,Regn2!LM68,"")</f>
        <v>725</v>
      </c>
      <c r="IZ68" s="15" t="s">
        <v>188</v>
      </c>
      <c r="JB68" s="16"/>
      <c r="JC68" s="15" t="s">
        <v>188</v>
      </c>
      <c r="JH68" s="25">
        <f>IF(Regn2!$R68&gt;1,Regn2!LQ68,"")</f>
        <v>517.44000000000005</v>
      </c>
      <c r="JI68" s="15" t="s">
        <v>188</v>
      </c>
      <c r="JK68" s="16"/>
      <c r="JL68" s="15" t="s">
        <v>188</v>
      </c>
      <c r="JN68" s="15" t="str">
        <f>IF(Regn2!$T68&lt;=1,"",VLOOKUP(Regn2!$T68,Efgr,2))</f>
        <v>Olieræddike E</v>
      </c>
      <c r="JP68" s="25">
        <f>IF(Regn2!$T68&gt;1,Regn2!LU68,"")</f>
        <v>280</v>
      </c>
      <c r="JQ68" s="15" t="s">
        <v>188</v>
      </c>
      <c r="JS68" s="16"/>
      <c r="JT68" s="15" t="s">
        <v>188</v>
      </c>
      <c r="JV68" s="25">
        <f>IF(Regn2!$T68&gt;1,Regn2!MN68,"")</f>
        <v>0</v>
      </c>
      <c r="JW68" s="15" t="s">
        <v>188</v>
      </c>
      <c r="JY68" s="16"/>
      <c r="JZ68" s="15" t="s">
        <v>188</v>
      </c>
      <c r="KB68" s="25">
        <f>IF(Regn2!$T68&gt;1,Regn2!MR68,"")</f>
        <v>0</v>
      </c>
      <c r="KC68" s="15" t="s">
        <v>188</v>
      </c>
      <c r="KE68" s="16"/>
      <c r="KF68" s="15" t="s">
        <v>188</v>
      </c>
      <c r="KH68" s="25">
        <f>IF(Regn2!$T68&gt;1,Regn2!MV68,"")</f>
        <v>0</v>
      </c>
      <c r="KI68" s="15" t="s">
        <v>188</v>
      </c>
      <c r="KK68" s="16"/>
      <c r="KL68" s="15" t="s">
        <v>188</v>
      </c>
      <c r="KN68" s="25">
        <f>IF(Regn2!$T68&gt;1,Regn2!NB68,"")</f>
        <v>75</v>
      </c>
      <c r="KO68" s="15" t="s">
        <v>188</v>
      </c>
      <c r="KQ68" s="16"/>
      <c r="KR68" s="15" t="s">
        <v>188</v>
      </c>
      <c r="KT68" s="25">
        <f>IF(Regn2!$T68&gt;1,Regn2!NF68,"")</f>
        <v>0</v>
      </c>
      <c r="KU68" s="15" t="s">
        <v>188</v>
      </c>
      <c r="KW68" s="16"/>
      <c r="KX68" s="15" t="s">
        <v>188</v>
      </c>
      <c r="KZ68" s="25">
        <f>IF(Regn2!$T68&gt;1,Regn2!NJ68,"")</f>
        <v>0</v>
      </c>
      <c r="LA68" s="15" t="s">
        <v>188</v>
      </c>
      <c r="LC68" s="16"/>
      <c r="LD68" s="15" t="s">
        <v>188</v>
      </c>
      <c r="LF68" s="25">
        <f>IF(Regn2!$T68&gt;1,Regn2!NN68,"")</f>
        <v>0</v>
      </c>
      <c r="LG68" s="15" t="s">
        <v>531</v>
      </c>
      <c r="LI68" s="16"/>
      <c r="LJ68" s="15" t="s">
        <v>531</v>
      </c>
      <c r="LL68" s="25">
        <f>IF(Regn2!$T68&gt;1,Regn2!NP68,"")</f>
        <v>0</v>
      </c>
      <c r="LM68" s="15" t="s">
        <v>188</v>
      </c>
      <c r="LO68" s="16"/>
      <c r="LP68" s="15" t="s">
        <v>188</v>
      </c>
      <c r="LR68" s="25">
        <f>IF(Regn2!$T68&gt;1,Regn2!NV68,"")</f>
        <v>0</v>
      </c>
      <c r="LS68" s="15" t="s">
        <v>188</v>
      </c>
      <c r="LU68" s="16"/>
      <c r="LV68" s="15" t="s">
        <v>188</v>
      </c>
      <c r="LX68" s="25">
        <f>IF(Regn2!$T68&gt;1,Regn2!NZ68,"")</f>
        <v>180</v>
      </c>
      <c r="LY68" s="15" t="s">
        <v>188</v>
      </c>
      <c r="MA68" s="16"/>
      <c r="MB68" s="15" t="s">
        <v>188</v>
      </c>
    </row>
    <row r="69" spans="2:340" ht="8.1" customHeight="1" x14ac:dyDescent="0.25"/>
    <row r="70" spans="2:340" x14ac:dyDescent="0.25">
      <c r="B70" s="240" t="s">
        <v>2373</v>
      </c>
      <c r="AG70" s="36">
        <v>15.41</v>
      </c>
      <c r="AH70" s="15" t="s">
        <v>85</v>
      </c>
      <c r="AL70" s="15" t="str">
        <f>IF(Regn2!$R70&lt;=1,"",VLOOKUP(Regn2!$R70,Afgr,2))</f>
        <v>Vårbyg, foder</v>
      </c>
      <c r="AN70" s="32">
        <f>IF(Regn2!$R70&gt;1,Regn2!AE70,"")</f>
        <v>93</v>
      </c>
      <c r="AO70" s="15" t="s">
        <v>82</v>
      </c>
      <c r="AQ70" s="17"/>
      <c r="AR70" s="15" t="s">
        <v>82</v>
      </c>
      <c r="AT70" s="37">
        <v>27</v>
      </c>
      <c r="AU70" s="15" t="s">
        <v>82</v>
      </c>
      <c r="AX70" s="17"/>
      <c r="AY70" s="15" t="s">
        <v>82</v>
      </c>
      <c r="BA70" s="17"/>
      <c r="BB70" s="15" t="s">
        <v>1504</v>
      </c>
      <c r="BD70" s="17"/>
      <c r="BE70" s="15" t="s">
        <v>1793</v>
      </c>
      <c r="BH70" s="17"/>
      <c r="BI70" s="15" t="s">
        <v>82</v>
      </c>
      <c r="BJ70" s="37">
        <v>75</v>
      </c>
      <c r="BK70" s="15" t="s">
        <v>205</v>
      </c>
      <c r="BM70" s="37">
        <v>87</v>
      </c>
      <c r="BN70" s="15" t="s">
        <v>82</v>
      </c>
      <c r="BP70" s="37">
        <v>73.5</v>
      </c>
      <c r="BQ70" s="15" t="s">
        <v>205</v>
      </c>
      <c r="BT70" s="17"/>
      <c r="BU70" s="15" t="s">
        <v>82</v>
      </c>
      <c r="BW70" s="17"/>
      <c r="BX70" s="15" t="s">
        <v>82</v>
      </c>
      <c r="BY70" s="37">
        <v>75</v>
      </c>
      <c r="BZ70" s="15" t="s">
        <v>205</v>
      </c>
      <c r="CB70" s="17">
        <v>17</v>
      </c>
      <c r="CC70" s="15" t="s">
        <v>1504</v>
      </c>
      <c r="CE70" s="17">
        <v>47</v>
      </c>
      <c r="CF70" s="15" t="s">
        <v>1793</v>
      </c>
      <c r="CH70" s="55">
        <f>IF(Regn2!$R70&gt;1,Regn2!AL70,"")</f>
        <v>56</v>
      </c>
      <c r="CI70" s="15" t="str">
        <f>IF(Regn2!AO70&lt;&gt;0,Regn2!AO70,"")</f>
        <v>hkg</v>
      </c>
      <c r="CK70" s="16"/>
      <c r="CL70" s="15" t="str">
        <f>IF(Regn2!AO70&lt;&gt;0,Regn2!AO70,"")</f>
        <v>hkg</v>
      </c>
      <c r="CN70" s="33">
        <f>IF(Regn2!$R70&gt;1,Regn2!DK70,"")</f>
        <v>9.8674999999999997</v>
      </c>
      <c r="CO70" s="15" t="s">
        <v>201</v>
      </c>
      <c r="CQ70" s="38"/>
      <c r="CR70" s="15" t="s">
        <v>201</v>
      </c>
      <c r="CT70" s="55">
        <f>IF(Regn2!$R70&gt;1,Regn2!AR70,"")</f>
        <v>145</v>
      </c>
      <c r="CU70" s="15" t="s">
        <v>188</v>
      </c>
      <c r="CW70" s="124"/>
      <c r="CX70" s="15" t="s">
        <v>188</v>
      </c>
      <c r="CZ70" s="25">
        <f>IF(Regn2!$R70&gt;1,Regn2!AW70,"")</f>
        <v>0</v>
      </c>
      <c r="DA70" s="15" t="s">
        <v>188</v>
      </c>
      <c r="DC70" s="17"/>
      <c r="DD70" s="15" t="s">
        <v>188</v>
      </c>
      <c r="DF70" s="25">
        <f>IF(Regn2!$R70&gt;1,Regn2!BB70,"")</f>
        <v>3000</v>
      </c>
      <c r="DG70" s="15" t="s">
        <v>192</v>
      </c>
      <c r="DI70" s="16"/>
      <c r="DJ70" s="15" t="s">
        <v>192</v>
      </c>
      <c r="DO70" s="33">
        <f>IF(Regn2!$R70&gt;1,Regn2!BI70,"")</f>
        <v>0.5</v>
      </c>
      <c r="DP70" s="15" t="s">
        <v>188</v>
      </c>
      <c r="DR70" s="38"/>
      <c r="DS70" s="15" t="s">
        <v>188</v>
      </c>
      <c r="DU70" s="15" t="str">
        <f>IF(Regn2!$T70&lt;=1,"",VLOOKUP(Regn2!$T70,Efgr,2))</f>
        <v>Olieræddike E</v>
      </c>
      <c r="DW70" s="25">
        <f>IF(Regn2!$T70&gt;1,Regn2!BN70,"")</f>
        <v>0</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f>IF(Regn2!$T70&gt;1,Regn2!BQ70,"")</f>
        <v>0</v>
      </c>
      <c r="FC70" s="15" t="str">
        <f>IF(Regn2!$T70&gt;1,Regn2!BT70,"")</f>
        <v>FE</v>
      </c>
      <c r="FE70" s="16"/>
      <c r="FF70" s="15" t="str">
        <f>IF(Regn2!$T70&gt;1,Regn2!BT70,"")</f>
        <v>FE</v>
      </c>
      <c r="FL70" s="32">
        <f>IF(Regn2!$R70&gt;1,NniveauDelsaedsk1,"")</f>
        <v>194</v>
      </c>
      <c r="FM70" s="15" t="s">
        <v>82</v>
      </c>
      <c r="FO70" s="17"/>
      <c r="FP70" s="15" t="s">
        <v>82</v>
      </c>
      <c r="FR70" s="32">
        <f>IF(Regn2!$R70&gt;1,Regn2!HU70,"")</f>
        <v>284.76666666666603</v>
      </c>
      <c r="FS70" s="15" t="s">
        <v>531</v>
      </c>
      <c r="FU70" s="17"/>
      <c r="FV70" s="15" t="s">
        <v>531</v>
      </c>
      <c r="FX70" s="32">
        <f>IF(Regn2!$R70&gt;1,Regn2!HR70,"")</f>
        <v>284.76666666666603</v>
      </c>
      <c r="FY70" s="15" t="s">
        <v>531</v>
      </c>
      <c r="GA70" s="17"/>
      <c r="GB70" s="15" t="s">
        <v>531</v>
      </c>
      <c r="GD70" s="15">
        <f>IF(Regn2!$R70&gt;1,RetentionNbal,"")</f>
        <v>65</v>
      </c>
      <c r="GE70" s="15" t="s">
        <v>205</v>
      </c>
      <c r="GF70" s="17"/>
      <c r="GG70" s="15" t="s">
        <v>205</v>
      </c>
      <c r="GI70" s="15" t="str">
        <f>IF(Regn2!$R70&lt;=1,"",VLOOKUP(Regn2!$R70,Afgr,2))</f>
        <v>Vårbyg, foder</v>
      </c>
      <c r="GK70" s="25">
        <f>IF(Regn2!$R70&gt;1,Regn2!IO70,"")</f>
        <v>488</v>
      </c>
      <c r="GL70" s="15" t="s">
        <v>188</v>
      </c>
      <c r="GN70" s="16"/>
      <c r="GO70" s="15" t="s">
        <v>188</v>
      </c>
      <c r="GQ70" s="25">
        <f>IF(Regn2!$R70&gt;1,Regn2!JK70,"")</f>
        <v>228.14999999999998</v>
      </c>
      <c r="GR70" s="15" t="s">
        <v>188</v>
      </c>
      <c r="GT70" s="16"/>
      <c r="GU70" s="15" t="s">
        <v>188</v>
      </c>
      <c r="GW70" s="25">
        <f>IF(Regn2!$R70&gt;1,Regn2!JO70,"")</f>
        <v>283</v>
      </c>
      <c r="GX70" s="15" t="s">
        <v>188</v>
      </c>
      <c r="GZ70" s="16"/>
      <c r="HA70" s="15" t="s">
        <v>188</v>
      </c>
      <c r="HC70" s="25">
        <f>IF(Regn2!$R70&gt;1,Regn2!JS70,"")</f>
        <v>0</v>
      </c>
      <c r="HD70" s="15" t="s">
        <v>188</v>
      </c>
      <c r="HF70" s="16"/>
      <c r="HG70" s="15" t="s">
        <v>188</v>
      </c>
      <c r="HI70" s="25">
        <f>IF(Regn2!$R70&gt;1,Regn2!JY70,"")</f>
        <v>600</v>
      </c>
      <c r="HJ70" s="15" t="s">
        <v>362</v>
      </c>
      <c r="HL70" s="16"/>
      <c r="HM70" s="15" t="s">
        <v>188</v>
      </c>
      <c r="HO70" s="25">
        <f>IF(Regn2!$R70&gt;1,Regn2!KL70,"")</f>
        <v>350</v>
      </c>
      <c r="HP70" s="15" t="s">
        <v>188</v>
      </c>
      <c r="HR70" s="16"/>
      <c r="HS70" s="15" t="s">
        <v>188</v>
      </c>
      <c r="HU70" s="25">
        <f>IF(Regn2!$R70&gt;1,Regn2!KP70,"")</f>
        <v>140</v>
      </c>
      <c r="HV70" s="15" t="s">
        <v>188</v>
      </c>
      <c r="HX70" s="16"/>
      <c r="HY70" s="15" t="s">
        <v>188</v>
      </c>
      <c r="IA70" s="25">
        <f>IF(Regn2!$R70&gt;1,Regn2!KT70,"")</f>
        <v>300</v>
      </c>
      <c r="IB70" s="15" t="s">
        <v>188</v>
      </c>
      <c r="ID70" s="16"/>
      <c r="IE70" s="15" t="s">
        <v>188</v>
      </c>
      <c r="IG70" s="25">
        <f>IF(Regn2!$R70&gt;1,Regn2!KX70,"")</f>
        <v>0</v>
      </c>
      <c r="IH70" s="15" t="s">
        <v>531</v>
      </c>
      <c r="IJ70" s="16"/>
      <c r="IK70" s="15" t="s">
        <v>531</v>
      </c>
      <c r="IM70" s="25">
        <f>IF(Regn2!$R70&gt;1,Regn2!KZ70,"")</f>
        <v>0</v>
      </c>
      <c r="IN70" s="15" t="s">
        <v>188</v>
      </c>
      <c r="IP70" s="16"/>
      <c r="IQ70" s="15" t="s">
        <v>188</v>
      </c>
      <c r="IS70" s="25">
        <f>IF(Regn2!$R70&gt;1,Regn2!LG70,"")</f>
        <v>960.58823529411757</v>
      </c>
      <c r="IT70" s="15" t="s">
        <v>188</v>
      </c>
      <c r="IV70" s="16"/>
      <c r="IW70" s="15" t="s">
        <v>405</v>
      </c>
      <c r="IY70" s="25">
        <f>IF(Regn2!$R70&gt;1,Regn2!LM70,"")</f>
        <v>725</v>
      </c>
      <c r="IZ70" s="15" t="s">
        <v>188</v>
      </c>
      <c r="JB70" s="16"/>
      <c r="JC70" s="15" t="s">
        <v>188</v>
      </c>
      <c r="JH70" s="25">
        <f>IF(Regn2!$R70&gt;1,Regn2!LQ70,"")</f>
        <v>517.44000000000005</v>
      </c>
      <c r="JI70" s="15" t="s">
        <v>188</v>
      </c>
      <c r="JK70" s="16"/>
      <c r="JL70" s="15" t="s">
        <v>188</v>
      </c>
      <c r="JN70" s="15" t="str">
        <f>IF(Regn2!$T70&lt;=1,"",VLOOKUP(Regn2!$T70,Efgr,2))</f>
        <v>Olieræddike E</v>
      </c>
      <c r="JP70" s="25">
        <f>IF(Regn2!$T70&gt;1,Regn2!LU70,"")</f>
        <v>280</v>
      </c>
      <c r="JQ70" s="15" t="s">
        <v>188</v>
      </c>
      <c r="JS70" s="16"/>
      <c r="JT70" s="15" t="s">
        <v>188</v>
      </c>
      <c r="JV70" s="25">
        <f>IF(Regn2!$T70&gt;1,Regn2!MN70,"")</f>
        <v>0</v>
      </c>
      <c r="JW70" s="15" t="s">
        <v>188</v>
      </c>
      <c r="JY70" s="16"/>
      <c r="JZ70" s="15" t="s">
        <v>188</v>
      </c>
      <c r="KB70" s="25">
        <f>IF(Regn2!$T70&gt;1,Regn2!MR70,"")</f>
        <v>0</v>
      </c>
      <c r="KC70" s="15" t="s">
        <v>188</v>
      </c>
      <c r="KE70" s="16"/>
      <c r="KF70" s="15" t="s">
        <v>188</v>
      </c>
      <c r="KH70" s="25">
        <f>IF(Regn2!$T70&gt;1,Regn2!MV70,"")</f>
        <v>0</v>
      </c>
      <c r="KI70" s="15" t="s">
        <v>188</v>
      </c>
      <c r="KK70" s="16"/>
      <c r="KL70" s="15" t="s">
        <v>188</v>
      </c>
      <c r="KN70" s="25">
        <f>IF(Regn2!$T70&gt;1,Regn2!NB70,"")</f>
        <v>75</v>
      </c>
      <c r="KO70" s="15" t="s">
        <v>188</v>
      </c>
      <c r="KQ70" s="16"/>
      <c r="KR70" s="15" t="s">
        <v>188</v>
      </c>
      <c r="KT70" s="25">
        <f>IF(Regn2!$T70&gt;1,Regn2!NF70,"")</f>
        <v>0</v>
      </c>
      <c r="KU70" s="15" t="s">
        <v>188</v>
      </c>
      <c r="KW70" s="16"/>
      <c r="KX70" s="15" t="s">
        <v>188</v>
      </c>
      <c r="KZ70" s="25">
        <f>IF(Regn2!$T70&gt;1,Regn2!NJ70,"")</f>
        <v>0</v>
      </c>
      <c r="LA70" s="15" t="s">
        <v>188</v>
      </c>
      <c r="LC70" s="16"/>
      <c r="LD70" s="15" t="s">
        <v>188</v>
      </c>
      <c r="LF70" s="25">
        <f>IF(Regn2!$T70&gt;1,Regn2!NN70,"")</f>
        <v>0</v>
      </c>
      <c r="LG70" s="15" t="s">
        <v>531</v>
      </c>
      <c r="LI70" s="16"/>
      <c r="LJ70" s="15" t="s">
        <v>531</v>
      </c>
      <c r="LL70" s="25">
        <f>IF(Regn2!$T70&gt;1,Regn2!NP70,"")</f>
        <v>0</v>
      </c>
      <c r="LM70" s="15" t="s">
        <v>188</v>
      </c>
      <c r="LO70" s="16"/>
      <c r="LP70" s="15" t="s">
        <v>188</v>
      </c>
      <c r="LR70" s="25">
        <f>IF(Regn2!$T70&gt;1,Regn2!NV70,"")</f>
        <v>0</v>
      </c>
      <c r="LS70" s="15" t="s">
        <v>188</v>
      </c>
      <c r="LU70" s="16"/>
      <c r="LV70" s="15" t="s">
        <v>188</v>
      </c>
      <c r="LX70" s="25">
        <f>IF(Regn2!$T70&gt;1,Regn2!NZ70,"")</f>
        <v>180</v>
      </c>
      <c r="LY70" s="15" t="s">
        <v>188</v>
      </c>
      <c r="MA70" s="16"/>
      <c r="MB70" s="15" t="s">
        <v>188</v>
      </c>
    </row>
    <row r="71" spans="2:340" ht="8.1" customHeight="1" x14ac:dyDescent="0.25"/>
    <row r="72" spans="2:340" x14ac:dyDescent="0.25">
      <c r="B72" s="240" t="s">
        <v>2374</v>
      </c>
      <c r="AG72" s="36">
        <v>1.66</v>
      </c>
      <c r="AH72" s="15" t="s">
        <v>85</v>
      </c>
      <c r="AL72" s="15" t="str">
        <f>IF(Regn2!$R72&lt;=1,"",VLOOKUP(Regn2!$R72,Afgr,2))</f>
        <v>Randzone</v>
      </c>
      <c r="AN72" s="32">
        <f>IF(Regn2!$R72&gt;1,Regn2!AE72,"")</f>
        <v>0</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73.5</v>
      </c>
      <c r="BQ72" s="15" t="s">
        <v>205</v>
      </c>
      <c r="BT72" s="17"/>
      <c r="BU72" s="15" t="s">
        <v>82</v>
      </c>
      <c r="BW72" s="17"/>
      <c r="BX72" s="15" t="s">
        <v>82</v>
      </c>
      <c r="BY72" s="37">
        <v>75</v>
      </c>
      <c r="BZ72" s="15" t="s">
        <v>205</v>
      </c>
      <c r="CB72" s="17"/>
      <c r="CC72" s="15" t="s">
        <v>1504</v>
      </c>
      <c r="CE72" s="17"/>
      <c r="CF72" s="15" t="s">
        <v>1793</v>
      </c>
      <c r="CH72" s="55">
        <f>IF(Regn2!$R72&gt;1,Regn2!AL72,"")</f>
        <v>0</v>
      </c>
      <c r="CI72" s="15" t="str">
        <f>IF(Regn2!AO72&lt;&gt;0,Regn2!AO72,"")</f>
        <v/>
      </c>
      <c r="CK72" s="16"/>
      <c r="CL72" s="15" t="str">
        <f>IF(Regn2!AO72&lt;&gt;0,Regn2!AO72,"")</f>
        <v/>
      </c>
      <c r="CN72" s="33">
        <f>IF(Regn2!$R72&gt;1,Regn2!DK72,"")</f>
        <v>0</v>
      </c>
      <c r="CO72" s="15" t="s">
        <v>201</v>
      </c>
      <c r="CQ72" s="38"/>
      <c r="CR72" s="15" t="s">
        <v>201</v>
      </c>
      <c r="CT72" s="55">
        <f>IF(Regn2!$R72&gt;1,Regn2!AR72,"")</f>
        <v>0</v>
      </c>
      <c r="CU72" s="15" t="s">
        <v>188</v>
      </c>
      <c r="CW72" s="124"/>
      <c r="CX72" s="15" t="s">
        <v>188</v>
      </c>
      <c r="CZ72" s="25">
        <f>IF(Regn2!$R72&gt;1,Regn2!AW72,"")</f>
        <v>2100</v>
      </c>
      <c r="DA72" s="15" t="s">
        <v>188</v>
      </c>
      <c r="DC72" s="17"/>
      <c r="DD72" s="15" t="s">
        <v>188</v>
      </c>
      <c r="DF72" s="25">
        <f>IF(Regn2!$R72&gt;1,Regn2!BB72,"")</f>
        <v>0</v>
      </c>
      <c r="DG72" s="15" t="s">
        <v>192</v>
      </c>
      <c r="DI72" s="16"/>
      <c r="DJ72" s="15" t="s">
        <v>192</v>
      </c>
      <c r="DO72" s="33">
        <f>IF(Regn2!$R72&gt;1,Regn2!BI72,"")</f>
        <v>0</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f>IF(Regn2!$R72&gt;1,NniveauDelsaedsk1,"")</f>
        <v>194</v>
      </c>
      <c r="FM72" s="15" t="s">
        <v>82</v>
      </c>
      <c r="FO72" s="17"/>
      <c r="FP72" s="15" t="s">
        <v>82</v>
      </c>
      <c r="FR72" s="32">
        <f>IF(Regn2!$R72&gt;1,Regn2!HU72,"")</f>
        <v>272.32333333333298</v>
      </c>
      <c r="FS72" s="15" t="s">
        <v>531</v>
      </c>
      <c r="FU72" s="17"/>
      <c r="FV72" s="15" t="s">
        <v>531</v>
      </c>
      <c r="FX72" s="32">
        <f>IF(Regn2!$R72&gt;1,Regn2!HR72,"")</f>
        <v>272.32333333333298</v>
      </c>
      <c r="FY72" s="15" t="s">
        <v>531</v>
      </c>
      <c r="GA72" s="17"/>
      <c r="GB72" s="15" t="s">
        <v>531</v>
      </c>
      <c r="GD72" s="15">
        <f>IF(Regn2!$R72&gt;1,RetentionNbal,"")</f>
        <v>65</v>
      </c>
      <c r="GE72" s="15" t="s">
        <v>205</v>
      </c>
      <c r="GF72" s="17"/>
      <c r="GG72" s="15" t="s">
        <v>205</v>
      </c>
      <c r="GI72" s="15" t="str">
        <f>IF(Regn2!$R72&lt;=1,"",VLOOKUP(Regn2!$R72,Afgr,2))</f>
        <v>Randzone</v>
      </c>
      <c r="GK72" s="25">
        <f>IF(Regn2!$R72&gt;1,Regn2!IO72,"")</f>
        <v>0</v>
      </c>
      <c r="GL72" s="15" t="s">
        <v>188</v>
      </c>
      <c r="GN72" s="16"/>
      <c r="GO72" s="15" t="s">
        <v>188</v>
      </c>
      <c r="GQ72" s="25">
        <f>IF(Regn2!$R72&gt;1,Regn2!JK72,"")</f>
        <v>0</v>
      </c>
      <c r="GR72" s="15" t="s">
        <v>188</v>
      </c>
      <c r="GT72" s="16"/>
      <c r="GU72" s="15" t="s">
        <v>188</v>
      </c>
      <c r="GW72" s="25">
        <f>IF(Regn2!$R72&gt;1,Regn2!JO72,"")</f>
        <v>0</v>
      </c>
      <c r="GX72" s="15" t="s">
        <v>188</v>
      </c>
      <c r="GZ72" s="16"/>
      <c r="HA72" s="15" t="s">
        <v>188</v>
      </c>
      <c r="HC72" s="25">
        <f>IF(Regn2!$R72&gt;1,Regn2!JS72,"")</f>
        <v>0</v>
      </c>
      <c r="HD72" s="15" t="s">
        <v>188</v>
      </c>
      <c r="HF72" s="16"/>
      <c r="HG72" s="15" t="s">
        <v>188</v>
      </c>
      <c r="HI72" s="25">
        <f>IF(Regn2!$R72&gt;1,Regn2!JY72,"")</f>
        <v>0</v>
      </c>
      <c r="HJ72" s="15" t="s">
        <v>362</v>
      </c>
      <c r="HL72" s="16"/>
      <c r="HM72" s="15" t="s">
        <v>188</v>
      </c>
      <c r="HO72" s="25">
        <f>IF(Regn2!$R72&gt;1,Regn2!KL72,"")</f>
        <v>0</v>
      </c>
      <c r="HP72" s="15" t="s">
        <v>188</v>
      </c>
      <c r="HR72" s="16"/>
      <c r="HS72" s="15" t="s">
        <v>188</v>
      </c>
      <c r="HU72" s="25">
        <f>IF(Regn2!$R72&gt;1,Regn2!KP72,"")</f>
        <v>0</v>
      </c>
      <c r="HV72" s="15" t="s">
        <v>188</v>
      </c>
      <c r="HX72" s="16"/>
      <c r="HY72" s="15" t="s">
        <v>188</v>
      </c>
      <c r="IA72" s="25">
        <f>IF(Regn2!$R72&gt;1,Regn2!KT72,"")</f>
        <v>0</v>
      </c>
      <c r="IB72" s="15" t="s">
        <v>188</v>
      </c>
      <c r="ID72" s="16"/>
      <c r="IE72" s="15" t="s">
        <v>188</v>
      </c>
      <c r="IG72" s="25">
        <f>IF(Regn2!$R72&gt;1,Regn2!KX72,"")</f>
        <v>0</v>
      </c>
      <c r="IH72" s="15" t="s">
        <v>531</v>
      </c>
      <c r="IJ72" s="16"/>
      <c r="IK72" s="15" t="s">
        <v>531</v>
      </c>
      <c r="IM72" s="25">
        <f>IF(Regn2!$R72&gt;1,Regn2!KZ72,"")</f>
        <v>0</v>
      </c>
      <c r="IN72" s="15" t="s">
        <v>188</v>
      </c>
      <c r="IP72" s="16"/>
      <c r="IQ72" s="15" t="s">
        <v>188</v>
      </c>
      <c r="IS72" s="25">
        <f>IF(Regn2!$R72&gt;1,Regn2!LG72,"")</f>
        <v>0</v>
      </c>
      <c r="IT72" s="15" t="s">
        <v>188</v>
      </c>
      <c r="IV72" s="16"/>
      <c r="IW72" s="15" t="s">
        <v>405</v>
      </c>
      <c r="IY72" s="25">
        <f>IF(Regn2!$R72&gt;1,Regn2!LM72,"")</f>
        <v>0</v>
      </c>
      <c r="IZ72" s="15" t="s">
        <v>188</v>
      </c>
      <c r="JB72" s="16"/>
      <c r="JC72" s="15" t="s">
        <v>188</v>
      </c>
      <c r="JH72" s="25">
        <f>IF(Regn2!$R72&gt;1,Regn2!LQ72,"")</f>
        <v>0</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t="s">
        <v>2375</v>
      </c>
      <c r="AG74" s="36">
        <v>4.24</v>
      </c>
      <c r="AH74" s="15" t="s">
        <v>85</v>
      </c>
      <c r="AL74" s="15" t="str">
        <f>IF(Regn2!$R74&lt;=1,"",VLOOKUP(Regn2!$R74,Afgr,2))</f>
        <v>Majs, helsæd</v>
      </c>
      <c r="AN74" s="32">
        <f>IF(Regn2!$R74&gt;1,Regn2!AE74,"")</f>
        <v>139</v>
      </c>
      <c r="AO74" s="15" t="s">
        <v>82</v>
      </c>
      <c r="AQ74" s="17"/>
      <c r="AR74" s="15" t="s">
        <v>82</v>
      </c>
      <c r="AT74" s="37">
        <v>20</v>
      </c>
      <c r="AU74" s="15" t="s">
        <v>82</v>
      </c>
      <c r="AX74" s="17"/>
      <c r="AY74" s="15" t="s">
        <v>82</v>
      </c>
      <c r="BA74" s="17">
        <v>10</v>
      </c>
      <c r="BB74" s="15" t="s">
        <v>1504</v>
      </c>
      <c r="BD74" s="17"/>
      <c r="BE74" s="15" t="s">
        <v>1793</v>
      </c>
      <c r="BH74" s="17"/>
      <c r="BI74" s="15" t="s">
        <v>82</v>
      </c>
      <c r="BJ74" s="37">
        <v>75</v>
      </c>
      <c r="BK74" s="15" t="s">
        <v>205</v>
      </c>
      <c r="BM74" s="37">
        <v>129</v>
      </c>
      <c r="BN74" s="15" t="s">
        <v>82</v>
      </c>
      <c r="BP74" s="37">
        <v>73.5</v>
      </c>
      <c r="BQ74" s="15" t="s">
        <v>205</v>
      </c>
      <c r="BT74" s="17"/>
      <c r="BU74" s="15" t="s">
        <v>82</v>
      </c>
      <c r="BW74" s="17"/>
      <c r="BX74" s="15" t="s">
        <v>82</v>
      </c>
      <c r="BY74" s="37">
        <v>75</v>
      </c>
      <c r="BZ74" s="15" t="s">
        <v>205</v>
      </c>
      <c r="CB74" s="17">
        <v>26</v>
      </c>
      <c r="CC74" s="15" t="s">
        <v>1504</v>
      </c>
      <c r="CE74" s="17">
        <v>71</v>
      </c>
      <c r="CF74" s="15" t="s">
        <v>1793</v>
      </c>
      <c r="CH74" s="55">
        <f>IF(Regn2!$R74&gt;1,Regn2!AL74,"")</f>
        <v>10300</v>
      </c>
      <c r="CI74" s="15" t="str">
        <f>IF(Regn2!AO74&lt;&gt;0,Regn2!AO74,"")</f>
        <v>FE</v>
      </c>
      <c r="CK74" s="16"/>
      <c r="CL74" s="15" t="str">
        <f>IF(Regn2!AO74&lt;&gt;0,Regn2!AO74,"")</f>
        <v>FE</v>
      </c>
      <c r="CN74" s="33">
        <f>IF(Regn2!$R74&gt;1,Regn2!DK74,"")</f>
        <v>5.22</v>
      </c>
      <c r="CO74" s="15" t="s">
        <v>201</v>
      </c>
      <c r="CQ74" s="38"/>
      <c r="CR74" s="15" t="s">
        <v>201</v>
      </c>
      <c r="CT74" s="55">
        <f>IF(Regn2!$R74&gt;1,Regn2!AR74,"")</f>
        <v>1.2</v>
      </c>
      <c r="CU74" s="15" t="s">
        <v>188</v>
      </c>
      <c r="CW74" s="124"/>
      <c r="CX74" s="15" t="s">
        <v>188</v>
      </c>
      <c r="CZ74" s="25">
        <f>IF(Regn2!$R74&gt;1,Regn2!AW74,"")</f>
        <v>0</v>
      </c>
      <c r="DA74" s="15" t="s">
        <v>188</v>
      </c>
      <c r="DC74" s="17"/>
      <c r="DD74" s="15" t="s">
        <v>188</v>
      </c>
      <c r="DF74" s="25">
        <f>IF(Regn2!$R74&gt;1,Regn2!BB74,"")</f>
        <v>0</v>
      </c>
      <c r="DG74" s="15" t="s">
        <v>192</v>
      </c>
      <c r="DI74" s="16"/>
      <c r="DJ74" s="15" t="s">
        <v>192</v>
      </c>
      <c r="DO74" s="33">
        <f>IF(Regn2!$R74&gt;1,Regn2!BI74,"")</f>
        <v>0</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f>IF(Regn2!$R74&gt;1,NniveauDelsaedsk1,"")</f>
        <v>194</v>
      </c>
      <c r="FM74" s="15" t="s">
        <v>82</v>
      </c>
      <c r="FO74" s="17"/>
      <c r="FP74" s="15" t="s">
        <v>82</v>
      </c>
      <c r="FR74" s="32">
        <f>IF(Regn2!$R74&gt;1,Regn2!HU74,"")</f>
        <v>311.98999999999899</v>
      </c>
      <c r="FS74" s="15" t="s">
        <v>531</v>
      </c>
      <c r="FU74" s="17"/>
      <c r="FV74" s="15" t="s">
        <v>531</v>
      </c>
      <c r="FX74" s="32">
        <f>IF(Regn2!$R74&gt;1,Regn2!HR74,"")</f>
        <v>311.98999999999899</v>
      </c>
      <c r="FY74" s="15" t="s">
        <v>531</v>
      </c>
      <c r="GA74" s="17"/>
      <c r="GB74" s="15" t="s">
        <v>531</v>
      </c>
      <c r="GD74" s="15">
        <f>IF(Regn2!$R74&gt;1,RetentionNbal,"")</f>
        <v>65</v>
      </c>
      <c r="GE74" s="15" t="s">
        <v>205</v>
      </c>
      <c r="GF74" s="17"/>
      <c r="GG74" s="15" t="s">
        <v>205</v>
      </c>
      <c r="GI74" s="15" t="str">
        <f>IF(Regn2!$R74&lt;=1,"",VLOOKUP(Regn2!$R74,Afgr,2))</f>
        <v>Majs, helsæd</v>
      </c>
      <c r="GK74" s="25">
        <f>IF(Regn2!$R74&gt;1,Regn2!IO74,"")</f>
        <v>1400</v>
      </c>
      <c r="GL74" s="15" t="s">
        <v>188</v>
      </c>
      <c r="GN74" s="16"/>
      <c r="GO74" s="15" t="s">
        <v>188</v>
      </c>
      <c r="GQ74" s="25">
        <f>IF(Regn2!$R74&gt;1,Regn2!JK74,"")</f>
        <v>308</v>
      </c>
      <c r="GR74" s="15" t="s">
        <v>188</v>
      </c>
      <c r="GT74" s="16"/>
      <c r="GU74" s="15" t="s">
        <v>188</v>
      </c>
      <c r="GW74" s="25">
        <f>IF(Regn2!$R74&gt;1,Regn2!JO74,"")</f>
        <v>660</v>
      </c>
      <c r="GX74" s="15" t="s">
        <v>188</v>
      </c>
      <c r="GZ74" s="16"/>
      <c r="HA74" s="15" t="s">
        <v>188</v>
      </c>
      <c r="HC74" s="25">
        <f>IF(Regn2!$R74&gt;1,Regn2!JS74,"")</f>
        <v>401.7</v>
      </c>
      <c r="HD74" s="15" t="s">
        <v>188</v>
      </c>
      <c r="HF74" s="16"/>
      <c r="HG74" s="15" t="s">
        <v>188</v>
      </c>
      <c r="HI74" s="25">
        <f>IF(Regn2!$R74&gt;1,Regn2!JY74,"")</f>
        <v>600</v>
      </c>
      <c r="HJ74" s="15" t="s">
        <v>362</v>
      </c>
      <c r="HL74" s="16"/>
      <c r="HM74" s="15" t="s">
        <v>188</v>
      </c>
      <c r="HO74" s="25">
        <f>IF(Regn2!$R74&gt;1,Regn2!KL74,"")</f>
        <v>800</v>
      </c>
      <c r="HP74" s="15" t="s">
        <v>188</v>
      </c>
      <c r="HR74" s="16"/>
      <c r="HS74" s="15" t="s">
        <v>188</v>
      </c>
      <c r="HU74" s="25">
        <f>IF(Regn2!$R74&gt;1,Regn2!KP74,"")</f>
        <v>140</v>
      </c>
      <c r="HV74" s="15" t="s">
        <v>188</v>
      </c>
      <c r="HX74" s="16"/>
      <c r="HY74" s="15" t="s">
        <v>188</v>
      </c>
      <c r="IA74" s="25">
        <f>IF(Regn2!$R74&gt;1,Regn2!KT74,"")</f>
        <v>300</v>
      </c>
      <c r="IB74" s="15" t="s">
        <v>188</v>
      </c>
      <c r="ID74" s="16"/>
      <c r="IE74" s="15" t="s">
        <v>188</v>
      </c>
      <c r="IG74" s="25">
        <f>IF(Regn2!$R74&gt;1,Regn2!KX74,"")</f>
        <v>0</v>
      </c>
      <c r="IH74" s="15" t="s">
        <v>531</v>
      </c>
      <c r="IJ74" s="16"/>
      <c r="IK74" s="15" t="s">
        <v>531</v>
      </c>
      <c r="IM74" s="25">
        <f>IF(Regn2!$R74&gt;1,Regn2!KZ74,"")</f>
        <v>0</v>
      </c>
      <c r="IN74" s="15" t="s">
        <v>188</v>
      </c>
      <c r="IP74" s="16"/>
      <c r="IQ74" s="15" t="s">
        <v>188</v>
      </c>
      <c r="IS74" s="25">
        <f>IF(Regn2!$R74&gt;1,Regn2!LG74,"")</f>
        <v>1715.5555555555554</v>
      </c>
      <c r="IT74" s="15" t="s">
        <v>188</v>
      </c>
      <c r="IV74" s="16"/>
      <c r="IW74" s="15" t="s">
        <v>405</v>
      </c>
      <c r="IY74" s="25">
        <f>IF(Regn2!$R74&gt;1,Regn2!LM74,"")</f>
        <v>0</v>
      </c>
      <c r="IZ74" s="15" t="s">
        <v>188</v>
      </c>
      <c r="JB74" s="16"/>
      <c r="JC74" s="15" t="s">
        <v>188</v>
      </c>
      <c r="JH74" s="25">
        <f>IF(Regn2!$R74&gt;1,Regn2!LQ74,"")</f>
        <v>0</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t="s">
        <v>2376</v>
      </c>
      <c r="AG76" s="36">
        <v>4.42</v>
      </c>
      <c r="AH76" s="15" t="s">
        <v>85</v>
      </c>
      <c r="AL76" s="15" t="str">
        <f>IF(Regn2!$R76&lt;=1,"",VLOOKUP(Regn2!$R76,Afgr,2))</f>
        <v>Vårbyg, foder</v>
      </c>
      <c r="AN76" s="32">
        <f>IF(Regn2!$R76&gt;1,Regn2!AE76,"")</f>
        <v>110</v>
      </c>
      <c r="AO76" s="15" t="s">
        <v>82</v>
      </c>
      <c r="AQ76" s="17"/>
      <c r="AR76" s="15" t="s">
        <v>82</v>
      </c>
      <c r="AT76" s="37">
        <v>27</v>
      </c>
      <c r="AU76" s="15" t="s">
        <v>82</v>
      </c>
      <c r="AX76" s="17"/>
      <c r="AY76" s="15" t="s">
        <v>82</v>
      </c>
      <c r="BA76" s="17"/>
      <c r="BB76" s="15" t="s">
        <v>1504</v>
      </c>
      <c r="BD76" s="17"/>
      <c r="BE76" s="15" t="s">
        <v>1793</v>
      </c>
      <c r="BH76" s="17"/>
      <c r="BI76" s="15" t="s">
        <v>82</v>
      </c>
      <c r="BJ76" s="37">
        <v>75</v>
      </c>
      <c r="BK76" s="15" t="s">
        <v>205</v>
      </c>
      <c r="BM76" s="37">
        <v>87</v>
      </c>
      <c r="BN76" s="15" t="s">
        <v>82</v>
      </c>
      <c r="BP76" s="37">
        <v>73.5</v>
      </c>
      <c r="BQ76" s="15" t="s">
        <v>205</v>
      </c>
      <c r="BT76" s="17"/>
      <c r="BU76" s="15" t="s">
        <v>82</v>
      </c>
      <c r="BW76" s="17"/>
      <c r="BX76" s="15" t="s">
        <v>82</v>
      </c>
      <c r="BY76" s="37">
        <v>75</v>
      </c>
      <c r="BZ76" s="15" t="s">
        <v>205</v>
      </c>
      <c r="CB76" s="17">
        <v>17</v>
      </c>
      <c r="CC76" s="15" t="s">
        <v>1504</v>
      </c>
      <c r="CE76" s="17">
        <v>47</v>
      </c>
      <c r="CF76" s="15" t="s">
        <v>1793</v>
      </c>
      <c r="CH76" s="55">
        <f>IF(Regn2!$R76&gt;1,Regn2!AL76,"")</f>
        <v>56</v>
      </c>
      <c r="CI76" s="15" t="str">
        <f>IF(Regn2!AO76&lt;&gt;0,Regn2!AO76,"")</f>
        <v>hkg</v>
      </c>
      <c r="CK76" s="16"/>
      <c r="CL76" s="15" t="str">
        <f>IF(Regn2!AO76&lt;&gt;0,Regn2!AO76,"")</f>
        <v>hkg</v>
      </c>
      <c r="CN76" s="33">
        <f>IF(Regn2!$R76&gt;1,Regn2!DK76,"")</f>
        <v>9.5274999999999999</v>
      </c>
      <c r="CO76" s="15" t="s">
        <v>201</v>
      </c>
      <c r="CQ76" s="38"/>
      <c r="CR76" s="15" t="s">
        <v>201</v>
      </c>
      <c r="CT76" s="55">
        <f>IF(Regn2!$R76&gt;1,Regn2!AR76,"")</f>
        <v>145</v>
      </c>
      <c r="CU76" s="15" t="s">
        <v>188</v>
      </c>
      <c r="CW76" s="124"/>
      <c r="CX76" s="15" t="s">
        <v>188</v>
      </c>
      <c r="CZ76" s="25">
        <f>IF(Regn2!$R76&gt;1,Regn2!AW76,"")</f>
        <v>0</v>
      </c>
      <c r="DA76" s="15" t="s">
        <v>188</v>
      </c>
      <c r="DC76" s="17"/>
      <c r="DD76" s="15" t="s">
        <v>188</v>
      </c>
      <c r="DF76" s="25">
        <f>IF(Regn2!$R76&gt;1,Regn2!BB76,"")</f>
        <v>3000</v>
      </c>
      <c r="DG76" s="15" t="s">
        <v>192</v>
      </c>
      <c r="DI76" s="16"/>
      <c r="DJ76" s="15" t="s">
        <v>192</v>
      </c>
      <c r="DO76" s="33">
        <f>IF(Regn2!$R76&gt;1,Regn2!BI76,"")</f>
        <v>0.5</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f>IF(Regn2!$R76&gt;1,NniveauDelsaedsk1,"")</f>
        <v>194</v>
      </c>
      <c r="FM76" s="15" t="s">
        <v>82</v>
      </c>
      <c r="FO76" s="17"/>
      <c r="FP76" s="15" t="s">
        <v>82</v>
      </c>
      <c r="FR76" s="32">
        <f>IF(Regn2!$R76&gt;1,Regn2!HU76,"")</f>
        <v>304.76666666666603</v>
      </c>
      <c r="FS76" s="15" t="s">
        <v>531</v>
      </c>
      <c r="FU76" s="17"/>
      <c r="FV76" s="15" t="s">
        <v>531</v>
      </c>
      <c r="FX76" s="32">
        <f>IF(Regn2!$R76&gt;1,Regn2!HR76,"")</f>
        <v>304.76666666666603</v>
      </c>
      <c r="FY76" s="15" t="s">
        <v>531</v>
      </c>
      <c r="GA76" s="17"/>
      <c r="GB76" s="15" t="s">
        <v>531</v>
      </c>
      <c r="GD76" s="15">
        <f>IF(Regn2!$R76&gt;1,RetentionNbal,"")</f>
        <v>65</v>
      </c>
      <c r="GE76" s="15" t="s">
        <v>205</v>
      </c>
      <c r="GF76" s="17"/>
      <c r="GG76" s="15" t="s">
        <v>205</v>
      </c>
      <c r="GI76" s="15" t="str">
        <f>IF(Regn2!$R76&lt;=1,"",VLOOKUP(Regn2!$R76,Afgr,2))</f>
        <v>Vårbyg, foder</v>
      </c>
      <c r="GK76" s="25">
        <f>IF(Regn2!$R76&gt;1,Regn2!IO76,"")</f>
        <v>488</v>
      </c>
      <c r="GL76" s="15" t="s">
        <v>188</v>
      </c>
      <c r="GN76" s="16"/>
      <c r="GO76" s="15" t="s">
        <v>188</v>
      </c>
      <c r="GQ76" s="25">
        <f>IF(Regn2!$R76&gt;1,Regn2!JK76,"")</f>
        <v>228.14999999999998</v>
      </c>
      <c r="GR76" s="15" t="s">
        <v>188</v>
      </c>
      <c r="GT76" s="16"/>
      <c r="GU76" s="15" t="s">
        <v>188</v>
      </c>
      <c r="GW76" s="25">
        <f>IF(Regn2!$R76&gt;1,Regn2!JO76,"")</f>
        <v>283</v>
      </c>
      <c r="GX76" s="15" t="s">
        <v>188</v>
      </c>
      <c r="GZ76" s="16"/>
      <c r="HA76" s="15" t="s">
        <v>188</v>
      </c>
      <c r="HC76" s="25">
        <f>IF(Regn2!$R76&gt;1,Regn2!JS76,"")</f>
        <v>0</v>
      </c>
      <c r="HD76" s="15" t="s">
        <v>188</v>
      </c>
      <c r="HF76" s="16"/>
      <c r="HG76" s="15" t="s">
        <v>188</v>
      </c>
      <c r="HI76" s="25">
        <f>IF(Regn2!$R76&gt;1,Regn2!JY76,"")</f>
        <v>600</v>
      </c>
      <c r="HJ76" s="15" t="s">
        <v>362</v>
      </c>
      <c r="HL76" s="16"/>
      <c r="HM76" s="15" t="s">
        <v>188</v>
      </c>
      <c r="HO76" s="25">
        <f>IF(Regn2!$R76&gt;1,Regn2!KL76,"")</f>
        <v>350</v>
      </c>
      <c r="HP76" s="15" t="s">
        <v>188</v>
      </c>
      <c r="HR76" s="16"/>
      <c r="HS76" s="15" t="s">
        <v>188</v>
      </c>
      <c r="HU76" s="25">
        <f>IF(Regn2!$R76&gt;1,Regn2!KP76,"")</f>
        <v>140</v>
      </c>
      <c r="HV76" s="15" t="s">
        <v>188</v>
      </c>
      <c r="HX76" s="16"/>
      <c r="HY76" s="15" t="s">
        <v>188</v>
      </c>
      <c r="IA76" s="25">
        <f>IF(Regn2!$R76&gt;1,Regn2!KT76,"")</f>
        <v>300</v>
      </c>
      <c r="IB76" s="15" t="s">
        <v>188</v>
      </c>
      <c r="ID76" s="16"/>
      <c r="IE76" s="15" t="s">
        <v>188</v>
      </c>
      <c r="IG76" s="25">
        <f>IF(Regn2!$R76&gt;1,Regn2!KX76,"")</f>
        <v>0</v>
      </c>
      <c r="IH76" s="15" t="s">
        <v>531</v>
      </c>
      <c r="IJ76" s="16"/>
      <c r="IK76" s="15" t="s">
        <v>531</v>
      </c>
      <c r="IM76" s="25">
        <f>IF(Regn2!$R76&gt;1,Regn2!KZ76,"")</f>
        <v>0</v>
      </c>
      <c r="IN76" s="15" t="s">
        <v>188</v>
      </c>
      <c r="IP76" s="16"/>
      <c r="IQ76" s="15" t="s">
        <v>188</v>
      </c>
      <c r="IS76" s="25">
        <f>IF(Regn2!$R76&gt;1,Regn2!LG76,"")</f>
        <v>960.58823529411757</v>
      </c>
      <c r="IT76" s="15" t="s">
        <v>188</v>
      </c>
      <c r="IV76" s="16"/>
      <c r="IW76" s="15" t="s">
        <v>405</v>
      </c>
      <c r="IY76" s="25">
        <f>IF(Regn2!$R76&gt;1,Regn2!LM76,"")</f>
        <v>725</v>
      </c>
      <c r="IZ76" s="15" t="s">
        <v>188</v>
      </c>
      <c r="JB76" s="16"/>
      <c r="JC76" s="15" t="s">
        <v>188</v>
      </c>
      <c r="JH76" s="25">
        <f>IF(Regn2!$R76&gt;1,Regn2!LQ76,"")</f>
        <v>517.44000000000005</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D5:H5"/>
    <mergeCell ref="L5:O5"/>
    <mergeCell ref="J16:M16"/>
    <mergeCell ref="N16:Q16"/>
    <mergeCell ref="T16:W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EO16:EP16"/>
    <mergeCell ref="HC16:HG16"/>
    <mergeCell ref="IS16:IW16"/>
    <mergeCell ref="DL16:DM16"/>
    <mergeCell ref="EV16:EW16"/>
    <mergeCell ref="EY16:EZ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B8D725E6320A424DB1A61D25EDF5EB6E"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f44754058fba6974c182c3907f3434d0">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2014-12-15T10:32:28+00:00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Favrgaard for 2012 (referenceår).</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3E69AFFD-2223-4CBE-AD11-E2FCF453B690}"/>
</file>

<file path=customXml/itemProps3.xml><?xml version="1.0" encoding="utf-8"?>
<ds:datastoreItem xmlns:ds="http://schemas.openxmlformats.org/officeDocument/2006/customXml" ds:itemID="{505BF9B8-9513-4824-BE8F-6AF4D02E5788}"/>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Favrgaard 2012</dc:title>
  <dc:creator>Søren Kolind Hvid</dc:creator>
  <cp:lastModifiedBy>Lotte Buchtrup Hornbek</cp:lastModifiedBy>
  <cp:lastPrinted>2013-06-12T11:50:10Z</cp:lastPrinted>
  <dcterms:created xsi:type="dcterms:W3CDTF">2010-09-01T12:56:00Z</dcterms:created>
  <dcterms:modified xsi:type="dcterms:W3CDTF">2014-12-15T10:23:54Z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0x010100C568DB52D9D0A14D9B2FDCC96666E9F2007948130EC3DB064584E219954237AF3900242457EFB8B24247815D688C526CD44D00B8D725E6320A424DB1A61D25EDF5EB6E</vt:lpwstr>
  </property>
  <property fmtid="{D5CDD505-2E9C-101B-9397-08002B2CF9AE}" pid="3" name="_dlc_DocIdItemGuid">
    <vt:lpwstr>db5361c6-d762-4d53-a1f6-c529dbb02024</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2014-12-15T09:31:00Z</vt:filetime>
  </property>
  <property fmtid="{D5CDD505-2E9C-101B-9397-08002B2CF9AE}" pid="7" name="WebInfo_FinansieringsLink">
    <vt:lpwstr>db5361c6-d762-4d53-a1f6-c529dbb02024</vt:lpwstr>
  </property>
  <property fmtid="{D5CDD505-2E9C-101B-9397-08002B2CF9AE}" pid="8" name="EnclosureFor">
    <vt:lpwstr/>
  </property>
  <property fmtid="{D5CDD505-2E9C-101B-9397-08002B2CF9AE}" pid="9" name="KnowledgeArticle">
    <vt:bool>false</vt:bool>
  </property>
</Properties>
</file>